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gad\OneDrive\Desktop\"/>
    </mc:Choice>
  </mc:AlternateContent>
  <xr:revisionPtr revIDLastSave="0" documentId="13_ncr:1_{5088BE0B-A329-4465-9AFE-E7878107D458}" xr6:coauthVersionLast="47" xr6:coauthVersionMax="47" xr10:uidLastSave="{00000000-0000-0000-0000-000000000000}"/>
  <bookViews>
    <workbookView xWindow="-120" yWindow="-120" windowWidth="20730" windowHeight="11310" activeTab="8" xr2:uid="{00000000-000D-0000-FFFF-FFFF00000000}"/>
  </bookViews>
  <sheets>
    <sheet name="check your pension" sheetId="8" r:id="rId1"/>
    <sheet name="Sheet1" sheetId="7" r:id="rId2"/>
    <sheet name="86-93" sheetId="10" state="hidden" r:id="rId3"/>
    <sheet name="93-98" sheetId="11" state="hidden" r:id="rId4"/>
    <sheet name="98-2002" sheetId="12" state="hidden" r:id="rId5"/>
    <sheet name="100% DA-aug.23" sheetId="4" r:id="rId6"/>
    <sheet name="RBI FORMULA" sheetId="13" r:id="rId7"/>
    <sheet name="DIFF BPS" sheetId="14" r:id="rId8"/>
    <sheet name="Sheet2" sheetId="15" r:id="rId9"/>
    <sheet name="100%da-july 23" sheetId="9" state="hidden" r:id="rId10"/>
    <sheet name="DA Chart-1.8.23" sheetId="6" r:id="rId11"/>
  </sheets>
  <definedNames>
    <definedName name="_xlnm._FilterDatabase" localSheetId="0" hidden="1">'check your pension'!$A$9:$H$10</definedName>
  </definedNames>
  <calcPr calcId="191029"/>
</workbook>
</file>

<file path=xl/calcChain.xml><?xml version="1.0" encoding="utf-8"?>
<calcChain xmlns="http://schemas.openxmlformats.org/spreadsheetml/2006/main">
  <c r="R33" i="14" l="1"/>
  <c r="R34" i="14"/>
  <c r="R35" i="14"/>
  <c r="R36" i="14"/>
  <c r="R37" i="14"/>
  <c r="R38" i="14"/>
  <c r="R32" i="14"/>
  <c r="T41" i="14"/>
  <c r="N42" i="14"/>
  <c r="N41" i="14"/>
  <c r="P10" i="14"/>
  <c r="P11" i="14"/>
  <c r="P12" i="14"/>
  <c r="P13" i="14"/>
  <c r="P14" i="14"/>
  <c r="P15" i="14"/>
  <c r="P16" i="14"/>
  <c r="P9" i="14"/>
  <c r="Y10" i="14"/>
  <c r="Y11" i="14"/>
  <c r="Y12" i="14"/>
  <c r="Y13" i="14"/>
  <c r="Y14" i="14"/>
  <c r="Y15" i="14"/>
  <c r="Y16" i="14"/>
  <c r="Y9" i="14"/>
  <c r="X10" i="14"/>
  <c r="X11" i="14"/>
  <c r="X12" i="14"/>
  <c r="X13" i="14"/>
  <c r="X14" i="14"/>
  <c r="X15" i="14"/>
  <c r="X16" i="14"/>
  <c r="X9" i="14"/>
  <c r="E33" i="14"/>
  <c r="E34" i="14"/>
  <c r="E35" i="14"/>
  <c r="E36" i="14"/>
  <c r="E37" i="14"/>
  <c r="E38" i="14"/>
  <c r="E32" i="14"/>
  <c r="T33" i="14"/>
  <c r="T34" i="14"/>
  <c r="T35" i="14"/>
  <c r="T36" i="14"/>
  <c r="T37" i="14"/>
  <c r="T38" i="14"/>
  <c r="S33" i="14"/>
  <c r="S34" i="14"/>
  <c r="S35" i="14"/>
  <c r="S36" i="14"/>
  <c r="S37" i="14"/>
  <c r="S38" i="14"/>
  <c r="S32" i="14"/>
  <c r="T32" i="14" s="1"/>
  <c r="Q36" i="14"/>
  <c r="I33" i="14"/>
  <c r="I34" i="14"/>
  <c r="I37" i="14"/>
  <c r="I38" i="14"/>
  <c r="M34" i="14"/>
  <c r="M35" i="14"/>
  <c r="M38" i="14"/>
  <c r="M32" i="14"/>
  <c r="D35" i="14"/>
  <c r="D36" i="14"/>
  <c r="D32" i="14"/>
  <c r="H33" i="14"/>
  <c r="H34" i="14"/>
  <c r="H35" i="14"/>
  <c r="I35" i="14" s="1"/>
  <c r="H36" i="14"/>
  <c r="I36" i="14" s="1"/>
  <c r="H37" i="14"/>
  <c r="H38" i="14"/>
  <c r="H32" i="14"/>
  <c r="I32" i="14" s="1"/>
  <c r="L33" i="14"/>
  <c r="M33" i="14" s="1"/>
  <c r="L34" i="14"/>
  <c r="L35" i="14"/>
  <c r="L36" i="14"/>
  <c r="M36" i="14" s="1"/>
  <c r="L37" i="14"/>
  <c r="M37" i="14" s="1"/>
  <c r="L38" i="14"/>
  <c r="L32" i="14"/>
  <c r="P33" i="14"/>
  <c r="Q33" i="14" s="1"/>
  <c r="P34" i="14"/>
  <c r="Q34" i="14" s="1"/>
  <c r="P35" i="14"/>
  <c r="Q35" i="14" s="1"/>
  <c r="P36" i="14"/>
  <c r="P37" i="14"/>
  <c r="Q37" i="14" s="1"/>
  <c r="P38" i="14"/>
  <c r="Q38" i="14" s="1"/>
  <c r="P39" i="14"/>
  <c r="P32" i="14"/>
  <c r="Q32" i="14" s="1"/>
  <c r="U16" i="14"/>
  <c r="V16" i="14" s="1"/>
  <c r="D38" i="14" s="1"/>
  <c r="T16" i="14"/>
  <c r="U15" i="14"/>
  <c r="V15" i="14" s="1"/>
  <c r="D37" i="14" s="1"/>
  <c r="T15" i="14"/>
  <c r="U14" i="14"/>
  <c r="V14" i="14" s="1"/>
  <c r="T14" i="14"/>
  <c r="U13" i="14"/>
  <c r="V13" i="14" s="1"/>
  <c r="T13" i="14"/>
  <c r="U12" i="14"/>
  <c r="V12" i="14" s="1"/>
  <c r="D34" i="14" s="1"/>
  <c r="T12" i="14"/>
  <c r="U11" i="14"/>
  <c r="V11" i="14" s="1"/>
  <c r="D33" i="14" s="1"/>
  <c r="T11" i="14"/>
  <c r="U10" i="14"/>
  <c r="V10" i="14" s="1"/>
  <c r="T10" i="14"/>
  <c r="U9" i="14"/>
  <c r="V9" i="14" s="1"/>
  <c r="T9" i="14"/>
  <c r="M16" i="14"/>
  <c r="N16" i="14" s="1"/>
  <c r="L16" i="14"/>
  <c r="M15" i="14"/>
  <c r="N15" i="14" s="1"/>
  <c r="L15" i="14"/>
  <c r="M14" i="14"/>
  <c r="N14" i="14" s="1"/>
  <c r="L14" i="14"/>
  <c r="M13" i="14"/>
  <c r="N13" i="14" s="1"/>
  <c r="L13" i="14"/>
  <c r="M12" i="14"/>
  <c r="N12" i="14" s="1"/>
  <c r="L12" i="14"/>
  <c r="M11" i="14"/>
  <c r="N11" i="14" s="1"/>
  <c r="L11" i="14"/>
  <c r="M10" i="14"/>
  <c r="N10" i="14" s="1"/>
  <c r="L10" i="14"/>
  <c r="M9" i="14"/>
  <c r="N9" i="14" s="1"/>
  <c r="L9" i="14"/>
  <c r="E16" i="14"/>
  <c r="F16" i="14" s="1"/>
  <c r="D16" i="14"/>
  <c r="E15" i="14"/>
  <c r="F15" i="14" s="1"/>
  <c r="D15" i="14"/>
  <c r="E14" i="14"/>
  <c r="F14" i="14" s="1"/>
  <c r="D14" i="14"/>
  <c r="E13" i="14"/>
  <c r="F13" i="14" s="1"/>
  <c r="D13" i="14"/>
  <c r="E12" i="14"/>
  <c r="F12" i="14" s="1"/>
  <c r="D12" i="14"/>
  <c r="E11" i="14"/>
  <c r="F11" i="14" s="1"/>
  <c r="D11" i="14"/>
  <c r="E10" i="14"/>
  <c r="F10" i="14" s="1"/>
  <c r="D10" i="14"/>
  <c r="E9" i="14"/>
  <c r="F9" i="14" s="1"/>
  <c r="D9" i="14"/>
  <c r="T10" i="13"/>
  <c r="U10" i="13" s="1"/>
  <c r="Q10" i="13"/>
  <c r="R10" i="13"/>
  <c r="S10" i="13"/>
  <c r="V9" i="13"/>
  <c r="U9" i="13"/>
  <c r="T9" i="13"/>
  <c r="R9" i="13"/>
  <c r="S9" i="13"/>
  <c r="Q9" i="13"/>
  <c r="B96" i="13"/>
  <c r="C95" i="13"/>
  <c r="B95" i="13"/>
  <c r="B94" i="13"/>
  <c r="C94" i="13" s="1"/>
  <c r="D94" i="13" s="1"/>
  <c r="B93" i="13"/>
  <c r="C93" i="13" s="1"/>
  <c r="D93" i="13" s="1"/>
  <c r="B92" i="13"/>
  <c r="B91" i="13"/>
  <c r="C91" i="13" s="1"/>
  <c r="B90" i="13"/>
  <c r="C90" i="13" s="1"/>
  <c r="D90" i="13" s="1"/>
  <c r="C89" i="13"/>
  <c r="D89" i="13" s="1"/>
  <c r="B89" i="13"/>
  <c r="B83" i="13"/>
  <c r="K83" i="13" s="1"/>
  <c r="L83" i="13" s="1"/>
  <c r="C82" i="13"/>
  <c r="B82" i="13"/>
  <c r="K82" i="13" s="1"/>
  <c r="L82" i="13" s="1"/>
  <c r="B81" i="13"/>
  <c r="C80" i="13"/>
  <c r="D80" i="13" s="1"/>
  <c r="B80" i="13"/>
  <c r="K80" i="13" s="1"/>
  <c r="K79" i="13"/>
  <c r="L79" i="13" s="1"/>
  <c r="B79" i="13"/>
  <c r="C79" i="13" s="1"/>
  <c r="B78" i="13"/>
  <c r="K78" i="13" s="1"/>
  <c r="K77" i="13"/>
  <c r="L77" i="13" s="1"/>
  <c r="B77" i="13"/>
  <c r="B76" i="13"/>
  <c r="K76" i="13" s="1"/>
  <c r="J74" i="13"/>
  <c r="K74" i="13" s="1"/>
  <c r="L74" i="13" s="1"/>
  <c r="C70" i="13"/>
  <c r="D70" i="13" s="1"/>
  <c r="B70" i="13"/>
  <c r="K70" i="13" s="1"/>
  <c r="B69" i="13"/>
  <c r="C69" i="13" s="1"/>
  <c r="K68" i="13"/>
  <c r="L68" i="13" s="1"/>
  <c r="C68" i="13"/>
  <c r="B68" i="13"/>
  <c r="B67" i="13"/>
  <c r="C66" i="13"/>
  <c r="D66" i="13" s="1"/>
  <c r="B66" i="13"/>
  <c r="K66" i="13" s="1"/>
  <c r="B65" i="13"/>
  <c r="C65" i="13" s="1"/>
  <c r="K64" i="13"/>
  <c r="L64" i="13" s="1"/>
  <c r="C64" i="13"/>
  <c r="B64" i="13"/>
  <c r="B63" i="13"/>
  <c r="K61" i="13"/>
  <c r="L61" i="13" s="1"/>
  <c r="J61" i="13"/>
  <c r="B57" i="13"/>
  <c r="C56" i="13"/>
  <c r="B56" i="13"/>
  <c r="K56" i="13" s="1"/>
  <c r="B55" i="13"/>
  <c r="C55" i="13" s="1"/>
  <c r="C54" i="13"/>
  <c r="B54" i="13"/>
  <c r="K54" i="13" s="1"/>
  <c r="L54" i="13" s="1"/>
  <c r="B53" i="13"/>
  <c r="C52" i="13"/>
  <c r="B52" i="13"/>
  <c r="K52" i="13" s="1"/>
  <c r="K51" i="13"/>
  <c r="L51" i="13" s="1"/>
  <c r="D51" i="13"/>
  <c r="C51" i="13"/>
  <c r="D50" i="13"/>
  <c r="B50" i="13"/>
  <c r="C50" i="13" s="1"/>
  <c r="K48" i="13"/>
  <c r="L48" i="13" s="1"/>
  <c r="J48" i="13"/>
  <c r="M42" i="13"/>
  <c r="K42" i="13"/>
  <c r="L42" i="13" s="1"/>
  <c r="E42" i="13"/>
  <c r="F42" i="13" s="1"/>
  <c r="G42" i="13" s="1"/>
  <c r="H42" i="13" s="1"/>
  <c r="D42" i="13"/>
  <c r="L41" i="13"/>
  <c r="M41" i="13" s="1"/>
  <c r="N41" i="13" s="1"/>
  <c r="O41" i="13" s="1"/>
  <c r="K41" i="13"/>
  <c r="E41" i="13"/>
  <c r="F41" i="13" s="1"/>
  <c r="G41" i="13" s="1"/>
  <c r="H41" i="13" s="1"/>
  <c r="D41" i="13"/>
  <c r="L40" i="13"/>
  <c r="K40" i="13"/>
  <c r="F40" i="13"/>
  <c r="E40" i="13"/>
  <c r="D40" i="13"/>
  <c r="L39" i="13"/>
  <c r="K39" i="13"/>
  <c r="E39" i="13"/>
  <c r="F39" i="13" s="1"/>
  <c r="D39" i="13"/>
  <c r="L38" i="13"/>
  <c r="K38" i="13"/>
  <c r="G38" i="13"/>
  <c r="H38" i="13" s="1"/>
  <c r="F38" i="13"/>
  <c r="E38" i="13"/>
  <c r="D38" i="13"/>
  <c r="K37" i="13"/>
  <c r="F37" i="13"/>
  <c r="G37" i="13" s="1"/>
  <c r="H37" i="13" s="1"/>
  <c r="E37" i="13"/>
  <c r="D37" i="13"/>
  <c r="M36" i="13"/>
  <c r="L36" i="13"/>
  <c r="K36" i="13"/>
  <c r="E36" i="13"/>
  <c r="F36" i="13" s="1"/>
  <c r="D36" i="13"/>
  <c r="K35" i="13"/>
  <c r="L35" i="13" s="1"/>
  <c r="M35" i="13" s="1"/>
  <c r="N35" i="13" s="1"/>
  <c r="O35" i="13" s="1"/>
  <c r="F35" i="13"/>
  <c r="E35" i="13"/>
  <c r="D35" i="13"/>
  <c r="K33" i="13"/>
  <c r="L33" i="13" s="1"/>
  <c r="J33" i="13"/>
  <c r="K29" i="13"/>
  <c r="E29" i="13"/>
  <c r="F29" i="13" s="1"/>
  <c r="G29" i="13" s="1"/>
  <c r="H29" i="13" s="1"/>
  <c r="D29" i="13"/>
  <c r="K28" i="13"/>
  <c r="E28" i="13"/>
  <c r="F28" i="13" s="1"/>
  <c r="G28" i="13" s="1"/>
  <c r="H28" i="13" s="1"/>
  <c r="D28" i="13"/>
  <c r="L27" i="13"/>
  <c r="K27" i="13"/>
  <c r="M27" i="13" s="1"/>
  <c r="N27" i="13" s="1"/>
  <c r="O27" i="13" s="1"/>
  <c r="E27" i="13"/>
  <c r="F27" i="13" s="1"/>
  <c r="D27" i="13"/>
  <c r="K26" i="13"/>
  <c r="E26" i="13"/>
  <c r="F26" i="13" s="1"/>
  <c r="G26" i="13" s="1"/>
  <c r="H26" i="13" s="1"/>
  <c r="D26" i="13"/>
  <c r="K25" i="13"/>
  <c r="E25" i="13"/>
  <c r="F25" i="13" s="1"/>
  <c r="G25" i="13" s="1"/>
  <c r="H25" i="13" s="1"/>
  <c r="D25" i="13"/>
  <c r="K24" i="13"/>
  <c r="H24" i="13"/>
  <c r="E24" i="13"/>
  <c r="F24" i="13" s="1"/>
  <c r="G24" i="13" s="1"/>
  <c r="D24" i="13"/>
  <c r="K23" i="13"/>
  <c r="L23" i="13" s="1"/>
  <c r="M23" i="13" s="1"/>
  <c r="N23" i="13" s="1"/>
  <c r="O23" i="13" s="1"/>
  <c r="F23" i="13"/>
  <c r="E23" i="13"/>
  <c r="D23" i="13"/>
  <c r="G23" i="13" s="1"/>
  <c r="H23" i="13" s="1"/>
  <c r="L22" i="13"/>
  <c r="K22" i="13"/>
  <c r="E22" i="13"/>
  <c r="F22" i="13" s="1"/>
  <c r="G22" i="13" s="1"/>
  <c r="H22" i="13" s="1"/>
  <c r="D22" i="13"/>
  <c r="J20" i="13"/>
  <c r="K20" i="13" s="1"/>
  <c r="L20" i="13" s="1"/>
  <c r="K16" i="13"/>
  <c r="E16" i="13"/>
  <c r="F16" i="13" s="1"/>
  <c r="G16" i="13" s="1"/>
  <c r="H16" i="13" s="1"/>
  <c r="D16" i="13"/>
  <c r="K15" i="13"/>
  <c r="L15" i="13" s="1"/>
  <c r="M15" i="13" s="1"/>
  <c r="N15" i="13" s="1"/>
  <c r="O15" i="13" s="1"/>
  <c r="F15" i="13"/>
  <c r="G15" i="13" s="1"/>
  <c r="H15" i="13" s="1"/>
  <c r="E15" i="13"/>
  <c r="D15" i="13"/>
  <c r="K14" i="13"/>
  <c r="F14" i="13"/>
  <c r="G14" i="13" s="1"/>
  <c r="H14" i="13" s="1"/>
  <c r="E14" i="13"/>
  <c r="D14" i="13"/>
  <c r="L13" i="13"/>
  <c r="M13" i="13" s="1"/>
  <c r="K13" i="13"/>
  <c r="E13" i="13"/>
  <c r="F13" i="13" s="1"/>
  <c r="D13" i="13"/>
  <c r="K12" i="13"/>
  <c r="L12" i="13" s="1"/>
  <c r="M12" i="13" s="1"/>
  <c r="E12" i="13"/>
  <c r="F12" i="13" s="1"/>
  <c r="D12" i="13"/>
  <c r="K11" i="13"/>
  <c r="E11" i="13"/>
  <c r="F11" i="13" s="1"/>
  <c r="G11" i="13" s="1"/>
  <c r="H11" i="13" s="1"/>
  <c r="D11" i="13"/>
  <c r="K10" i="13"/>
  <c r="F10" i="13"/>
  <c r="E10" i="13"/>
  <c r="D10" i="13"/>
  <c r="K9" i="13"/>
  <c r="L9" i="13" s="1"/>
  <c r="M9" i="13" s="1"/>
  <c r="E9" i="13"/>
  <c r="F9" i="13" s="1"/>
  <c r="D9" i="13"/>
  <c r="J7" i="13"/>
  <c r="K7" i="13" s="1"/>
  <c r="L7" i="13" s="1"/>
  <c r="B89" i="4"/>
  <c r="B76" i="4"/>
  <c r="B50" i="4"/>
  <c r="J50" i="4" s="1"/>
  <c r="B63" i="4"/>
  <c r="J63" i="4" s="1"/>
  <c r="T77" i="4"/>
  <c r="U77" i="4"/>
  <c r="T78" i="4"/>
  <c r="U78" i="4"/>
  <c r="T79" i="4"/>
  <c r="U79" i="4"/>
  <c r="T80" i="4"/>
  <c r="U80" i="4"/>
  <c r="T81" i="4"/>
  <c r="U81" i="4"/>
  <c r="T82" i="4"/>
  <c r="U82" i="4"/>
  <c r="T83" i="4"/>
  <c r="U83" i="4"/>
  <c r="T70" i="4"/>
  <c r="U70" i="4" s="1"/>
  <c r="T69" i="4"/>
  <c r="U69" i="4" s="1"/>
  <c r="T68" i="4"/>
  <c r="U68" i="4" s="1"/>
  <c r="T67" i="4"/>
  <c r="U67" i="4" s="1"/>
  <c r="T66" i="4"/>
  <c r="U66" i="4" s="1"/>
  <c r="T65" i="4"/>
  <c r="U65" i="4" s="1"/>
  <c r="T64" i="4"/>
  <c r="U64" i="4" s="1"/>
  <c r="T51" i="4"/>
  <c r="U51" i="4"/>
  <c r="T52" i="4"/>
  <c r="U52" i="4"/>
  <c r="T53" i="4"/>
  <c r="U53" i="4"/>
  <c r="T54" i="4"/>
  <c r="U54" i="4"/>
  <c r="T55" i="4"/>
  <c r="U55" i="4"/>
  <c r="T56" i="4"/>
  <c r="U56" i="4"/>
  <c r="T57" i="4"/>
  <c r="U57" i="4" s="1"/>
  <c r="R74" i="4"/>
  <c r="R61" i="4"/>
  <c r="R48" i="4"/>
  <c r="P74" i="4"/>
  <c r="Q74" i="4" s="1"/>
  <c r="P61" i="4"/>
  <c r="Q61" i="4" s="1"/>
  <c r="P33" i="4"/>
  <c r="Q33" i="4" s="1"/>
  <c r="R33" i="4" s="1"/>
  <c r="P48" i="4"/>
  <c r="Q48" i="4"/>
  <c r="Q77" i="4"/>
  <c r="R77" i="4" s="1"/>
  <c r="S77" i="4" s="1"/>
  <c r="Q78" i="4"/>
  <c r="R78" i="4" s="1"/>
  <c r="Q79" i="4"/>
  <c r="S79" i="4" s="1"/>
  <c r="R79" i="4"/>
  <c r="Q80" i="4"/>
  <c r="R80" i="4"/>
  <c r="S80" i="4"/>
  <c r="Q81" i="4"/>
  <c r="R81" i="4"/>
  <c r="S81" i="4"/>
  <c r="Q82" i="4"/>
  <c r="R82" i="4" s="1"/>
  <c r="Q83" i="4"/>
  <c r="S83" i="4" s="1"/>
  <c r="R83" i="4"/>
  <c r="Q76" i="4"/>
  <c r="R76" i="4" s="1"/>
  <c r="J77" i="4"/>
  <c r="K77" i="4" s="1"/>
  <c r="J78" i="4"/>
  <c r="K78" i="4" s="1"/>
  <c r="L78" i="4" s="1"/>
  <c r="M78" i="4" s="1"/>
  <c r="N78" i="4" s="1"/>
  <c r="J79" i="4"/>
  <c r="K79" i="4"/>
  <c r="L79" i="4" s="1"/>
  <c r="M79" i="4" s="1"/>
  <c r="N79" i="4" s="1"/>
  <c r="J80" i="4"/>
  <c r="K80" i="4" s="1"/>
  <c r="J81" i="4"/>
  <c r="L81" i="4" s="1"/>
  <c r="M81" i="4" s="1"/>
  <c r="N81" i="4" s="1"/>
  <c r="K81" i="4"/>
  <c r="J82" i="4"/>
  <c r="K82" i="4" s="1"/>
  <c r="L82" i="4" s="1"/>
  <c r="M82" i="4" s="1"/>
  <c r="N82" i="4" s="1"/>
  <c r="J83" i="4"/>
  <c r="L83" i="4" s="1"/>
  <c r="M83" i="4" s="1"/>
  <c r="N83" i="4" s="1"/>
  <c r="K83" i="4"/>
  <c r="J76" i="4"/>
  <c r="K76" i="4" s="1"/>
  <c r="J64" i="4"/>
  <c r="K64" i="4" s="1"/>
  <c r="J65" i="4"/>
  <c r="K65" i="4" s="1"/>
  <c r="L65" i="4" s="1"/>
  <c r="M65" i="4" s="1"/>
  <c r="N65" i="4" s="1"/>
  <c r="J66" i="4"/>
  <c r="K66" i="4"/>
  <c r="L66" i="4" s="1"/>
  <c r="M66" i="4" s="1"/>
  <c r="N66" i="4" s="1"/>
  <c r="J67" i="4"/>
  <c r="K67" i="4" s="1"/>
  <c r="J68" i="4"/>
  <c r="K68" i="4" s="1"/>
  <c r="J69" i="4"/>
  <c r="K69" i="4" s="1"/>
  <c r="L69" i="4" s="1"/>
  <c r="M69" i="4" s="1"/>
  <c r="N69" i="4" s="1"/>
  <c r="J70" i="4"/>
  <c r="K70" i="4"/>
  <c r="L70" i="4" s="1"/>
  <c r="M70" i="4" s="1"/>
  <c r="N70" i="4" s="1"/>
  <c r="N51" i="4"/>
  <c r="N52" i="4"/>
  <c r="N53" i="4"/>
  <c r="N54" i="4"/>
  <c r="N55" i="4"/>
  <c r="N56" i="4"/>
  <c r="N57" i="4"/>
  <c r="M51" i="4"/>
  <c r="M52" i="4"/>
  <c r="M53" i="4"/>
  <c r="M54" i="4"/>
  <c r="M55" i="4"/>
  <c r="M56" i="4"/>
  <c r="M57" i="4"/>
  <c r="J51" i="4"/>
  <c r="K51" i="4" s="1"/>
  <c r="L51" i="4" s="1"/>
  <c r="J52" i="4"/>
  <c r="K52" i="4" s="1"/>
  <c r="L52" i="4" s="1"/>
  <c r="J53" i="4"/>
  <c r="L53" i="4" s="1"/>
  <c r="K53" i="4"/>
  <c r="J54" i="4"/>
  <c r="K54" i="4" s="1"/>
  <c r="J55" i="4"/>
  <c r="K55" i="4"/>
  <c r="L55" i="4" s="1"/>
  <c r="J56" i="4"/>
  <c r="K56" i="4" s="1"/>
  <c r="L56" i="4" s="1"/>
  <c r="J57" i="4"/>
  <c r="L57" i="4" s="1"/>
  <c r="K57" i="4"/>
  <c r="C90" i="4"/>
  <c r="C91" i="4"/>
  <c r="C92" i="4"/>
  <c r="C93" i="4"/>
  <c r="C94" i="4"/>
  <c r="C95" i="4"/>
  <c r="C96" i="4"/>
  <c r="C89" i="4"/>
  <c r="D89" i="4" s="1"/>
  <c r="C77" i="4"/>
  <c r="C78" i="4"/>
  <c r="C79" i="4"/>
  <c r="C80" i="4"/>
  <c r="D80" i="4" s="1"/>
  <c r="C81" i="4"/>
  <c r="C82" i="4"/>
  <c r="C83" i="4"/>
  <c r="D83" i="4" s="1"/>
  <c r="C76" i="4"/>
  <c r="D76" i="4" s="1"/>
  <c r="C64" i="4"/>
  <c r="C65" i="4"/>
  <c r="C66" i="4"/>
  <c r="D66" i="4" s="1"/>
  <c r="C67" i="4"/>
  <c r="C68" i="4"/>
  <c r="C69" i="4"/>
  <c r="C70" i="4"/>
  <c r="C51" i="4"/>
  <c r="D51" i="4" s="1"/>
  <c r="C52" i="4"/>
  <c r="C53" i="4"/>
  <c r="C54" i="4"/>
  <c r="C55" i="4"/>
  <c r="C56" i="4"/>
  <c r="C57" i="4"/>
  <c r="B54" i="4"/>
  <c r="Q54" i="4" s="1"/>
  <c r="R54" i="4" s="1"/>
  <c r="S54" i="4" s="1"/>
  <c r="B53" i="4"/>
  <c r="B96" i="4"/>
  <c r="B95" i="4"/>
  <c r="B94" i="4"/>
  <c r="B93" i="4"/>
  <c r="B92" i="4"/>
  <c r="D92" i="4" s="1"/>
  <c r="B91" i="4"/>
  <c r="B90" i="4"/>
  <c r="B83" i="4"/>
  <c r="B82" i="4"/>
  <c r="B81" i="4"/>
  <c r="B80" i="4"/>
  <c r="B79" i="4"/>
  <c r="B78" i="4"/>
  <c r="B77" i="4"/>
  <c r="B70" i="4"/>
  <c r="Q70" i="4" s="1"/>
  <c r="R70" i="4" s="1"/>
  <c r="S70" i="4" s="1"/>
  <c r="B69" i="4"/>
  <c r="Q69" i="4" s="1"/>
  <c r="R69" i="4" s="1"/>
  <c r="B68" i="4"/>
  <c r="B67" i="4"/>
  <c r="B66" i="4"/>
  <c r="Q66" i="4" s="1"/>
  <c r="R66" i="4" s="1"/>
  <c r="S66" i="4" s="1"/>
  <c r="B65" i="4"/>
  <c r="D65" i="4" s="1"/>
  <c r="B64" i="4"/>
  <c r="B57" i="4"/>
  <c r="D57" i="4" s="1"/>
  <c r="B56" i="4"/>
  <c r="Q56" i="4" s="1"/>
  <c r="R56" i="4" s="1"/>
  <c r="B55" i="4"/>
  <c r="B52" i="4"/>
  <c r="Q52" i="4" s="1"/>
  <c r="R52" i="4" s="1"/>
  <c r="P7" i="4"/>
  <c r="Q7" i="4" s="1"/>
  <c r="R7" i="4" s="1"/>
  <c r="P20" i="4"/>
  <c r="Q20" i="4" s="1"/>
  <c r="R20" i="4" s="1"/>
  <c r="Q64" i="4"/>
  <c r="R64" i="4" s="1"/>
  <c r="Q65" i="4"/>
  <c r="R65" i="4" s="1"/>
  <c r="Q51" i="4"/>
  <c r="R51" i="4" s="1"/>
  <c r="Q50" i="4"/>
  <c r="R50" i="4" s="1"/>
  <c r="S50" i="4" s="1"/>
  <c r="Q36" i="4"/>
  <c r="R36" i="4" s="1"/>
  <c r="S36" i="4" s="1"/>
  <c r="Q37" i="4"/>
  <c r="R37" i="4" s="1"/>
  <c r="Q38" i="4"/>
  <c r="R38" i="4" s="1"/>
  <c r="Q39" i="4"/>
  <c r="R39" i="4" s="1"/>
  <c r="Q40" i="4"/>
  <c r="R40" i="4" s="1"/>
  <c r="S40" i="4" s="1"/>
  <c r="Q41" i="4"/>
  <c r="R41" i="4" s="1"/>
  <c r="Q42" i="4"/>
  <c r="R42" i="4" s="1"/>
  <c r="Q35" i="4"/>
  <c r="Q29" i="4"/>
  <c r="R29" i="4" s="1"/>
  <c r="S29" i="4" s="1"/>
  <c r="Q28" i="4"/>
  <c r="R28" i="4" s="1"/>
  <c r="S28" i="4" s="1"/>
  <c r="Q27" i="4"/>
  <c r="Q26" i="4"/>
  <c r="Q25" i="4"/>
  <c r="R25" i="4" s="1"/>
  <c r="S25" i="4" s="1"/>
  <c r="Q24" i="4"/>
  <c r="R24" i="4" s="1"/>
  <c r="S24" i="4" s="1"/>
  <c r="Q23" i="4"/>
  <c r="Q22" i="4"/>
  <c r="D91" i="4"/>
  <c r="Q10" i="4"/>
  <c r="Q11" i="4"/>
  <c r="Q12" i="4"/>
  <c r="Q13" i="4"/>
  <c r="Q14" i="4"/>
  <c r="Q15" i="4"/>
  <c r="Q16" i="4"/>
  <c r="Q9" i="4"/>
  <c r="J36" i="4"/>
  <c r="K36" i="4" s="1"/>
  <c r="L36" i="4" s="1"/>
  <c r="J37" i="4"/>
  <c r="K37" i="4" s="1"/>
  <c r="L37" i="4" s="1"/>
  <c r="J38" i="4"/>
  <c r="J39" i="4"/>
  <c r="K39" i="4" s="1"/>
  <c r="J40" i="4"/>
  <c r="K40" i="4" s="1"/>
  <c r="L40" i="4" s="1"/>
  <c r="J41" i="4"/>
  <c r="K41" i="4" s="1"/>
  <c r="J42" i="4"/>
  <c r="K42" i="4" s="1"/>
  <c r="J35" i="4"/>
  <c r="J23" i="4"/>
  <c r="K23" i="4" s="1"/>
  <c r="J24" i="4"/>
  <c r="K24" i="4" s="1"/>
  <c r="L24" i="4" s="1"/>
  <c r="J25" i="4"/>
  <c r="K25" i="4" s="1"/>
  <c r="J26" i="4"/>
  <c r="K26" i="4" s="1"/>
  <c r="J27" i="4"/>
  <c r="K27" i="4" s="1"/>
  <c r="L27" i="4" s="1"/>
  <c r="J28" i="4"/>
  <c r="K28" i="4" s="1"/>
  <c r="L28" i="4" s="1"/>
  <c r="J29" i="4"/>
  <c r="K29" i="4" s="1"/>
  <c r="J22" i="4"/>
  <c r="K22" i="4" s="1"/>
  <c r="L22" i="4" s="1"/>
  <c r="J10" i="4"/>
  <c r="J11" i="4"/>
  <c r="J12" i="4"/>
  <c r="J13" i="4"/>
  <c r="J14" i="4"/>
  <c r="J15" i="4"/>
  <c r="J16" i="4"/>
  <c r="J9" i="4"/>
  <c r="D81" i="4"/>
  <c r="D79" i="4"/>
  <c r="D78" i="4"/>
  <c r="D77" i="4"/>
  <c r="D70" i="4"/>
  <c r="D69" i="4"/>
  <c r="D68" i="4"/>
  <c r="D64" i="4"/>
  <c r="I10" i="8"/>
  <c r="D10" i="8"/>
  <c r="D33" i="8"/>
  <c r="E33" i="8" s="1"/>
  <c r="D31" i="8"/>
  <c r="E31" i="8" s="1"/>
  <c r="D28" i="8"/>
  <c r="E28" i="8" s="1"/>
  <c r="D25" i="8"/>
  <c r="E25" i="8" s="1"/>
  <c r="O15" i="14" l="1"/>
  <c r="G14" i="14"/>
  <c r="G12" i="14"/>
  <c r="W15" i="14"/>
  <c r="W11" i="14"/>
  <c r="G15" i="14"/>
  <c r="O9" i="14"/>
  <c r="W12" i="14"/>
  <c r="W9" i="14"/>
  <c r="W16" i="14"/>
  <c r="G9" i="14"/>
  <c r="G11" i="14"/>
  <c r="G16" i="14"/>
  <c r="O10" i="14"/>
  <c r="O14" i="14"/>
  <c r="O16" i="14"/>
  <c r="W13" i="14"/>
  <c r="O11" i="14"/>
  <c r="O13" i="14"/>
  <c r="O12" i="14"/>
  <c r="G10" i="14"/>
  <c r="G13" i="14"/>
  <c r="W10" i="14"/>
  <c r="W14" i="14"/>
  <c r="V10" i="13"/>
  <c r="N12" i="13"/>
  <c r="O12" i="13" s="1"/>
  <c r="L16" i="13"/>
  <c r="M16" i="13" s="1"/>
  <c r="N16" i="13" s="1"/>
  <c r="O16" i="13" s="1"/>
  <c r="L11" i="13"/>
  <c r="M11" i="13" s="1"/>
  <c r="N11" i="13" s="1"/>
  <c r="O11" i="13" s="1"/>
  <c r="L24" i="13"/>
  <c r="M24" i="13" s="1"/>
  <c r="N24" i="13" s="1"/>
  <c r="O24" i="13" s="1"/>
  <c r="L28" i="13"/>
  <c r="M28" i="13" s="1"/>
  <c r="N28" i="13" s="1"/>
  <c r="O28" i="13" s="1"/>
  <c r="M38" i="13"/>
  <c r="N38" i="13" s="1"/>
  <c r="O38" i="13" s="1"/>
  <c r="K50" i="13"/>
  <c r="L50" i="13" s="1"/>
  <c r="M50" i="13" s="1"/>
  <c r="N50" i="13" s="1"/>
  <c r="O50" i="13" s="1"/>
  <c r="M51" i="13"/>
  <c r="N51" i="13" s="1"/>
  <c r="O51" i="13" s="1"/>
  <c r="D52" i="13"/>
  <c r="D56" i="13"/>
  <c r="C76" i="13"/>
  <c r="D76" i="13" s="1"/>
  <c r="G27" i="13"/>
  <c r="H27" i="13" s="1"/>
  <c r="G10" i="13"/>
  <c r="H10" i="13" s="1"/>
  <c r="G12" i="13"/>
  <c r="H12" i="13" s="1"/>
  <c r="G35" i="13"/>
  <c r="H35" i="13" s="1"/>
  <c r="G40" i="13"/>
  <c r="H40" i="13" s="1"/>
  <c r="D95" i="13"/>
  <c r="G39" i="13"/>
  <c r="H39" i="13" s="1"/>
  <c r="M40" i="13"/>
  <c r="N40" i="13" s="1"/>
  <c r="O40" i="13" s="1"/>
  <c r="D91" i="13"/>
  <c r="N9" i="13"/>
  <c r="O9" i="13" s="1"/>
  <c r="G9" i="13"/>
  <c r="H9" i="13" s="1"/>
  <c r="G13" i="13"/>
  <c r="H13" i="13" s="1"/>
  <c r="N13" i="13"/>
  <c r="O13" i="13" s="1"/>
  <c r="M26" i="13"/>
  <c r="N26" i="13" s="1"/>
  <c r="O26" i="13" s="1"/>
  <c r="L10" i="13"/>
  <c r="M10" i="13" s="1"/>
  <c r="N10" i="13" s="1"/>
  <c r="O10" i="13" s="1"/>
  <c r="L14" i="13"/>
  <c r="M14" i="13" s="1"/>
  <c r="N14" i="13" s="1"/>
  <c r="O14" i="13" s="1"/>
  <c r="L26" i="13"/>
  <c r="M25" i="13"/>
  <c r="N25" i="13" s="1"/>
  <c r="O25" i="13" s="1"/>
  <c r="L25" i="13"/>
  <c r="N42" i="13"/>
  <c r="O42" i="13" s="1"/>
  <c r="M56" i="13"/>
  <c r="N56" i="13" s="1"/>
  <c r="O56" i="13" s="1"/>
  <c r="M22" i="13"/>
  <c r="N22" i="13" s="1"/>
  <c r="O22" i="13" s="1"/>
  <c r="N36" i="13"/>
  <c r="O36" i="13" s="1"/>
  <c r="G36" i="13"/>
  <c r="H36" i="13" s="1"/>
  <c r="L78" i="13"/>
  <c r="M78" i="13" s="1"/>
  <c r="L29" i="13"/>
  <c r="M29" i="13" s="1"/>
  <c r="N29" i="13" s="1"/>
  <c r="O29" i="13" s="1"/>
  <c r="L37" i="13"/>
  <c r="M37" i="13" s="1"/>
  <c r="N37" i="13" s="1"/>
  <c r="O37" i="13" s="1"/>
  <c r="L52" i="13"/>
  <c r="M52" i="13" s="1"/>
  <c r="N52" i="13" s="1"/>
  <c r="O52" i="13" s="1"/>
  <c r="C53" i="13"/>
  <c r="D53" i="13" s="1"/>
  <c r="D55" i="13"/>
  <c r="L56" i="13"/>
  <c r="C57" i="13"/>
  <c r="D57" i="13" s="1"/>
  <c r="C63" i="13"/>
  <c r="D65" i="13"/>
  <c r="L66" i="13"/>
  <c r="M66" i="13" s="1"/>
  <c r="N66" i="13" s="1"/>
  <c r="O66" i="13" s="1"/>
  <c r="C67" i="13"/>
  <c r="D67" i="13" s="1"/>
  <c r="D69" i="13"/>
  <c r="L70" i="13"/>
  <c r="M70" i="13" s="1"/>
  <c r="N70" i="13" s="1"/>
  <c r="O70" i="13" s="1"/>
  <c r="M77" i="13"/>
  <c r="C81" i="13"/>
  <c r="D81" i="13" s="1"/>
  <c r="K81" i="13"/>
  <c r="D92" i="13"/>
  <c r="C92" i="13"/>
  <c r="M39" i="13"/>
  <c r="N39" i="13" s="1"/>
  <c r="O39" i="13" s="1"/>
  <c r="K53" i="13"/>
  <c r="D54" i="13"/>
  <c r="K55" i="13"/>
  <c r="K57" i="13"/>
  <c r="D63" i="13"/>
  <c r="K63" i="13"/>
  <c r="D64" i="13"/>
  <c r="K65" i="13"/>
  <c r="K67" i="13"/>
  <c r="D68" i="13"/>
  <c r="K69" i="13"/>
  <c r="L76" i="13"/>
  <c r="M76" i="13" s="1"/>
  <c r="N76" i="13" s="1"/>
  <c r="O76" i="13" s="1"/>
  <c r="C77" i="13"/>
  <c r="D77" i="13" s="1"/>
  <c r="D79" i="13"/>
  <c r="L80" i="13"/>
  <c r="M80" i="13" s="1"/>
  <c r="N80" i="13" s="1"/>
  <c r="O80" i="13" s="1"/>
  <c r="M83" i="13"/>
  <c r="N83" i="13" s="1"/>
  <c r="O83" i="13" s="1"/>
  <c r="M54" i="13"/>
  <c r="N54" i="13" s="1"/>
  <c r="O54" i="13" s="1"/>
  <c r="M64" i="13"/>
  <c r="N64" i="13" s="1"/>
  <c r="O64" i="13" s="1"/>
  <c r="M68" i="13"/>
  <c r="N68" i="13" s="1"/>
  <c r="O68" i="13" s="1"/>
  <c r="C78" i="13"/>
  <c r="D78" i="13" s="1"/>
  <c r="M79" i="13"/>
  <c r="N79" i="13" s="1"/>
  <c r="O79" i="13" s="1"/>
  <c r="M82" i="13"/>
  <c r="D82" i="13"/>
  <c r="C83" i="13"/>
  <c r="D83" i="13" s="1"/>
  <c r="C96" i="13"/>
  <c r="D96" i="13" s="1"/>
  <c r="L76" i="4"/>
  <c r="M76" i="4" s="1"/>
  <c r="N76" i="4" s="1"/>
  <c r="S76" i="4"/>
  <c r="T76" i="4" s="1"/>
  <c r="U76" i="4" s="1"/>
  <c r="L63" i="4"/>
  <c r="K63" i="4"/>
  <c r="C63" i="4"/>
  <c r="D63" i="4" s="1"/>
  <c r="Q63" i="4"/>
  <c r="K50" i="4"/>
  <c r="L50" i="4" s="1"/>
  <c r="M50" i="4" s="1"/>
  <c r="N50" i="4" s="1"/>
  <c r="C50" i="4"/>
  <c r="D50" i="4" s="1"/>
  <c r="T50" i="4" s="1"/>
  <c r="U50" i="4" s="1"/>
  <c r="S82" i="4"/>
  <c r="S78" i="4"/>
  <c r="L77" i="4"/>
  <c r="M77" i="4" s="1"/>
  <c r="N77" i="4" s="1"/>
  <c r="L80" i="4"/>
  <c r="M80" i="4" s="1"/>
  <c r="N80" i="4" s="1"/>
  <c r="L68" i="4"/>
  <c r="M68" i="4" s="1"/>
  <c r="N68" i="4" s="1"/>
  <c r="L64" i="4"/>
  <c r="M64" i="4" s="1"/>
  <c r="N64" i="4" s="1"/>
  <c r="L67" i="4"/>
  <c r="M67" i="4" s="1"/>
  <c r="N67" i="4" s="1"/>
  <c r="L54" i="4"/>
  <c r="D96" i="4"/>
  <c r="D93" i="4"/>
  <c r="D53" i="4"/>
  <c r="Q53" i="4"/>
  <c r="R53" i="4" s="1"/>
  <c r="D95" i="4"/>
  <c r="D94" i="4"/>
  <c r="D90" i="4"/>
  <c r="D82" i="4"/>
  <c r="Q68" i="4"/>
  <c r="R68" i="4" s="1"/>
  <c r="Q67" i="4"/>
  <c r="R67" i="4" s="1"/>
  <c r="S67" i="4" s="1"/>
  <c r="D67" i="4"/>
  <c r="D56" i="4"/>
  <c r="Q55" i="4"/>
  <c r="R55" i="4" s="1"/>
  <c r="S55" i="4" s="1"/>
  <c r="D54" i="4"/>
  <c r="D55" i="4"/>
  <c r="Q57" i="4"/>
  <c r="R57" i="4" s="1"/>
  <c r="D52" i="4"/>
  <c r="S53" i="4"/>
  <c r="S68" i="4"/>
  <c r="S64" i="4"/>
  <c r="S69" i="4"/>
  <c r="S65" i="4"/>
  <c r="R63" i="4"/>
  <c r="S63" i="4" s="1"/>
  <c r="S51" i="4"/>
  <c r="S56" i="4"/>
  <c r="S52" i="4"/>
  <c r="S39" i="4"/>
  <c r="S38" i="4"/>
  <c r="S42" i="4"/>
  <c r="S41" i="4"/>
  <c r="S37" i="4"/>
  <c r="R35" i="4"/>
  <c r="S35" i="4" s="1"/>
  <c r="R27" i="4"/>
  <c r="S27" i="4" s="1"/>
  <c r="R22" i="4"/>
  <c r="S22" i="4" s="1"/>
  <c r="R23" i="4"/>
  <c r="S23" i="4" s="1"/>
  <c r="R26" i="4"/>
  <c r="S26" i="4" s="1"/>
  <c r="K15" i="4"/>
  <c r="L15" i="4" s="1"/>
  <c r="K11" i="4"/>
  <c r="L11" i="4" s="1"/>
  <c r="R14" i="4"/>
  <c r="S14" i="4" s="1"/>
  <c r="R10" i="4"/>
  <c r="S10" i="4" s="1"/>
  <c r="K14" i="4"/>
  <c r="L14" i="4" s="1"/>
  <c r="K10" i="4"/>
  <c r="L10" i="4" s="1"/>
  <c r="L29" i="4"/>
  <c r="K9" i="4"/>
  <c r="L9" i="4" s="1"/>
  <c r="K13" i="4"/>
  <c r="L13" i="4" s="1"/>
  <c r="L41" i="4"/>
  <c r="R16" i="4"/>
  <c r="S16" i="4" s="1"/>
  <c r="R12" i="4"/>
  <c r="S12" i="4" s="1"/>
  <c r="L42" i="4"/>
  <c r="R9" i="4"/>
  <c r="S9" i="4" s="1"/>
  <c r="R13" i="4"/>
  <c r="S13" i="4" s="1"/>
  <c r="K16" i="4"/>
  <c r="L16" i="4" s="1"/>
  <c r="K12" i="4"/>
  <c r="L12" i="4" s="1"/>
  <c r="L25" i="4"/>
  <c r="K35" i="4"/>
  <c r="L35" i="4" s="1"/>
  <c r="K38" i="4"/>
  <c r="L38" i="4" s="1"/>
  <c r="R15" i="4"/>
  <c r="S15" i="4" s="1"/>
  <c r="R11" i="4"/>
  <c r="S11" i="4" s="1"/>
  <c r="L39" i="4"/>
  <c r="L23" i="4"/>
  <c r="L26" i="4"/>
  <c r="F33" i="8"/>
  <c r="G33" i="8" s="1"/>
  <c r="H33" i="8" s="1"/>
  <c r="F31" i="8"/>
  <c r="G31" i="8" s="1"/>
  <c r="H31" i="8" s="1"/>
  <c r="F28" i="8"/>
  <c r="G28" i="8" s="1"/>
  <c r="H28" i="8" s="1"/>
  <c r="F25" i="8"/>
  <c r="G25" i="8" s="1"/>
  <c r="H25" i="8" s="1"/>
  <c r="D17" i="8"/>
  <c r="E17" i="8" s="1"/>
  <c r="D13" i="8"/>
  <c r="E13" i="8" s="1"/>
  <c r="E10" i="8"/>
  <c r="F17" i="8"/>
  <c r="G17" i="8" s="1"/>
  <c r="F13" i="8"/>
  <c r="G13" i="8" s="1"/>
  <c r="C2" i="10"/>
  <c r="D10" i="12"/>
  <c r="D9" i="12"/>
  <c r="D8" i="12"/>
  <c r="D7" i="12"/>
  <c r="D6" i="12"/>
  <c r="D5" i="12"/>
  <c r="D4" i="12"/>
  <c r="D3" i="12"/>
  <c r="D10" i="11"/>
  <c r="D9" i="11"/>
  <c r="D8" i="11"/>
  <c r="D7" i="11"/>
  <c r="D6" i="11"/>
  <c r="D5" i="11"/>
  <c r="D4" i="11"/>
  <c r="D3" i="11"/>
  <c r="C10" i="10"/>
  <c r="C9" i="10"/>
  <c r="C8" i="10"/>
  <c r="C7" i="10"/>
  <c r="C6" i="10"/>
  <c r="C5" i="10"/>
  <c r="C4" i="10"/>
  <c r="C3" i="10"/>
  <c r="N82" i="13" l="1"/>
  <c r="O82" i="13" s="1"/>
  <c r="L63" i="13"/>
  <c r="M63" i="13" s="1"/>
  <c r="N63" i="13" s="1"/>
  <c r="O63" i="13" s="1"/>
  <c r="L65" i="13"/>
  <c r="M65" i="13" s="1"/>
  <c r="N65" i="13" s="1"/>
  <c r="O65" i="13" s="1"/>
  <c r="L55" i="13"/>
  <c r="M55" i="13" s="1"/>
  <c r="N55" i="13" s="1"/>
  <c r="O55" i="13" s="1"/>
  <c r="L67" i="13"/>
  <c r="M67" i="13" s="1"/>
  <c r="N67" i="13" s="1"/>
  <c r="O67" i="13" s="1"/>
  <c r="L57" i="13"/>
  <c r="M57" i="13" s="1"/>
  <c r="N57" i="13" s="1"/>
  <c r="O57" i="13" s="1"/>
  <c r="L69" i="13"/>
  <c r="M69" i="13"/>
  <c r="N69" i="13" s="1"/>
  <c r="O69" i="13" s="1"/>
  <c r="L81" i="13"/>
  <c r="M81" i="13"/>
  <c r="N81" i="13" s="1"/>
  <c r="O81" i="13" s="1"/>
  <c r="N77" i="13"/>
  <c r="O77" i="13" s="1"/>
  <c r="M53" i="13"/>
  <c r="N53" i="13" s="1"/>
  <c r="O53" i="13" s="1"/>
  <c r="L53" i="13"/>
  <c r="N78" i="13"/>
  <c r="O78" i="13" s="1"/>
  <c r="M63" i="4"/>
  <c r="N63" i="4" s="1"/>
  <c r="T63" i="4"/>
  <c r="U63" i="4" s="1"/>
  <c r="S57" i="4"/>
  <c r="H13" i="8"/>
  <c r="H17" i="8"/>
  <c r="E36" i="4"/>
  <c r="F36" i="4" s="1"/>
  <c r="E37" i="4"/>
  <c r="F37" i="4" s="1"/>
  <c r="M37" i="4" s="1"/>
  <c r="N37" i="4" s="1"/>
  <c r="E38" i="4"/>
  <c r="F38" i="4" s="1"/>
  <c r="E39" i="4"/>
  <c r="F39" i="4" s="1"/>
  <c r="M39" i="4" s="1"/>
  <c r="N39" i="4" s="1"/>
  <c r="E40" i="4"/>
  <c r="F40" i="4" s="1"/>
  <c r="E41" i="4"/>
  <c r="F41" i="4" s="1"/>
  <c r="M41" i="4" s="1"/>
  <c r="N41" i="4" s="1"/>
  <c r="E42" i="4"/>
  <c r="F42" i="4" s="1"/>
  <c r="E35" i="4"/>
  <c r="F35" i="4" s="1"/>
  <c r="M35" i="4" s="1"/>
  <c r="N35" i="4" s="1"/>
  <c r="E28" i="4"/>
  <c r="F28" i="4" s="1"/>
  <c r="E29" i="4"/>
  <c r="F29" i="4" s="1"/>
  <c r="E23" i="4"/>
  <c r="F23" i="4" s="1"/>
  <c r="E24" i="4"/>
  <c r="F24" i="4" s="1"/>
  <c r="E25" i="4"/>
  <c r="F25" i="4" s="1"/>
  <c r="E26" i="4"/>
  <c r="F26" i="4" s="1"/>
  <c r="M26" i="4" s="1"/>
  <c r="N26" i="4" s="1"/>
  <c r="E27" i="4"/>
  <c r="F27" i="4" s="1"/>
  <c r="M27" i="4" s="1"/>
  <c r="N27" i="4" s="1"/>
  <c r="E22" i="4"/>
  <c r="F22" i="4" s="1"/>
  <c r="M22" i="4" s="1"/>
  <c r="N22" i="4" s="1"/>
  <c r="E10" i="4"/>
  <c r="F10" i="4" s="1"/>
  <c r="T10" i="4" s="1"/>
  <c r="U10" i="4" s="1"/>
  <c r="E11" i="4"/>
  <c r="F11" i="4" s="1"/>
  <c r="M11" i="4" s="1"/>
  <c r="N11" i="4" s="1"/>
  <c r="E12" i="4"/>
  <c r="F12" i="4" s="1"/>
  <c r="M12" i="4" s="1"/>
  <c r="N12" i="4" s="1"/>
  <c r="E13" i="4"/>
  <c r="F13" i="4" s="1"/>
  <c r="M13" i="4" s="1"/>
  <c r="N13" i="4" s="1"/>
  <c r="E14" i="4"/>
  <c r="F14" i="4" s="1"/>
  <c r="M14" i="4" s="1"/>
  <c r="N14" i="4" s="1"/>
  <c r="E15" i="4"/>
  <c r="F15" i="4" s="1"/>
  <c r="M15" i="4" s="1"/>
  <c r="N15" i="4" s="1"/>
  <c r="E16" i="4"/>
  <c r="F16" i="4" s="1"/>
  <c r="M16" i="4" s="1"/>
  <c r="N16" i="4" s="1"/>
  <c r="E9" i="4"/>
  <c r="F9" i="4" s="1"/>
  <c r="M9" i="4" s="1"/>
  <c r="N9" i="4" s="1"/>
  <c r="F10" i="8"/>
  <c r="G10" i="8" s="1"/>
  <c r="D42" i="4"/>
  <c r="D41" i="4"/>
  <c r="D40" i="4"/>
  <c r="D39" i="4"/>
  <c r="D38" i="4"/>
  <c r="D37" i="4"/>
  <c r="D36" i="4"/>
  <c r="D35" i="4"/>
  <c r="D29" i="4"/>
  <c r="D28" i="4"/>
  <c r="D27" i="4"/>
  <c r="D26" i="4"/>
  <c r="D25" i="4"/>
  <c r="D24" i="4"/>
  <c r="D23" i="4"/>
  <c r="D22" i="4"/>
  <c r="D16" i="4"/>
  <c r="D15" i="4"/>
  <c r="D14" i="4"/>
  <c r="D13" i="4"/>
  <c r="D12" i="4"/>
  <c r="D11" i="4"/>
  <c r="D10" i="4"/>
  <c r="D9" i="4"/>
  <c r="T41" i="4" l="1"/>
  <c r="U41" i="4" s="1"/>
  <c r="T13" i="4"/>
  <c r="U13" i="4" s="1"/>
  <c r="T14" i="4"/>
  <c r="U14" i="4" s="1"/>
  <c r="T37" i="4"/>
  <c r="U37" i="4" s="1"/>
  <c r="M23" i="4"/>
  <c r="N23" i="4" s="1"/>
  <c r="T23" i="4"/>
  <c r="U23" i="4" s="1"/>
  <c r="M38" i="4"/>
  <c r="N38" i="4" s="1"/>
  <c r="T38" i="4"/>
  <c r="U38" i="4" s="1"/>
  <c r="M42" i="4"/>
  <c r="N42" i="4" s="1"/>
  <c r="T42" i="4"/>
  <c r="U42" i="4" s="1"/>
  <c r="M29" i="4"/>
  <c r="N29" i="4" s="1"/>
  <c r="T29" i="4"/>
  <c r="U29" i="4" s="1"/>
  <c r="T9" i="4"/>
  <c r="U9" i="4" s="1"/>
  <c r="T22" i="4"/>
  <c r="U22" i="4" s="1"/>
  <c r="T11" i="4"/>
  <c r="U11" i="4" s="1"/>
  <c r="M40" i="4"/>
  <c r="N40" i="4" s="1"/>
  <c r="T40" i="4"/>
  <c r="U40" i="4" s="1"/>
  <c r="M25" i="4"/>
  <c r="N25" i="4" s="1"/>
  <c r="T25" i="4"/>
  <c r="U25" i="4" s="1"/>
  <c r="M28" i="4"/>
  <c r="N28" i="4" s="1"/>
  <c r="T28" i="4"/>
  <c r="U28" i="4" s="1"/>
  <c r="M36" i="4"/>
  <c r="N36" i="4" s="1"/>
  <c r="T36" i="4"/>
  <c r="U36" i="4" s="1"/>
  <c r="T15" i="4"/>
  <c r="U15" i="4" s="1"/>
  <c r="T35" i="4"/>
  <c r="U35" i="4" s="1"/>
  <c r="T12" i="4"/>
  <c r="U12" i="4" s="1"/>
  <c r="M24" i="4"/>
  <c r="N24" i="4" s="1"/>
  <c r="T24" i="4"/>
  <c r="U24" i="4" s="1"/>
  <c r="T27" i="4"/>
  <c r="U27" i="4" s="1"/>
  <c r="T16" i="4"/>
  <c r="U16" i="4" s="1"/>
  <c r="T39" i="4"/>
  <c r="U39" i="4" s="1"/>
  <c r="T26" i="4"/>
  <c r="U26" i="4" s="1"/>
  <c r="G10" i="4"/>
  <c r="H10" i="4" s="1"/>
  <c r="M10" i="4"/>
  <c r="N10" i="4" s="1"/>
  <c r="G36" i="4"/>
  <c r="H36" i="4" s="1"/>
  <c r="H10" i="8"/>
  <c r="G25" i="4"/>
  <c r="H25" i="4" s="1"/>
  <c r="G27" i="4"/>
  <c r="H27" i="4" s="1"/>
  <c r="G16" i="4"/>
  <c r="H16" i="4" s="1"/>
  <c r="G23" i="4"/>
  <c r="H23" i="4" s="1"/>
  <c r="G40" i="4"/>
  <c r="H40" i="4" s="1"/>
  <c r="G29" i="4"/>
  <c r="H29" i="4" s="1"/>
  <c r="G12" i="4"/>
  <c r="H12" i="4" s="1"/>
  <c r="G14" i="4"/>
  <c r="H14" i="4" s="1"/>
  <c r="G38" i="4"/>
  <c r="H38" i="4" s="1"/>
  <c r="G42" i="4"/>
  <c r="H42" i="4" s="1"/>
  <c r="G9" i="4"/>
  <c r="H9" i="4" s="1"/>
  <c r="G11" i="4"/>
  <c r="H11" i="4" s="1"/>
  <c r="G13" i="4"/>
  <c r="H13" i="4" s="1"/>
  <c r="G15" i="4"/>
  <c r="H15" i="4" s="1"/>
  <c r="G22" i="4"/>
  <c r="H22" i="4" s="1"/>
  <c r="G24" i="4"/>
  <c r="H24" i="4" s="1"/>
  <c r="G26" i="4"/>
  <c r="H26" i="4" s="1"/>
  <c r="G28" i="4"/>
  <c r="H28" i="4" s="1"/>
  <c r="G35" i="4"/>
  <c r="H35" i="4" s="1"/>
  <c r="G37" i="4"/>
  <c r="H37" i="4" s="1"/>
  <c r="G39" i="4"/>
  <c r="H39" i="4" s="1"/>
  <c r="G41" i="4"/>
  <c r="H41" i="4" s="1"/>
</calcChain>
</file>

<file path=xl/sharedStrings.xml><?xml version="1.0" encoding="utf-8"?>
<sst xmlns="http://schemas.openxmlformats.org/spreadsheetml/2006/main" count="1248" uniqueCount="191">
  <si>
    <t>DIFFERENCE</t>
  </si>
  <si>
    <t>TOTAL</t>
  </si>
  <si>
    <t>CLERK</t>
  </si>
  <si>
    <t>JMG-I</t>
  </si>
  <si>
    <t>MMG-II</t>
  </si>
  <si>
    <t>MMG-III</t>
  </si>
  <si>
    <t>SMG-IV</t>
  </si>
  <si>
    <t>SMG-V</t>
  </si>
  <si>
    <t>TEG-VI</t>
  </si>
  <si>
    <t>TEG-VII</t>
  </si>
  <si>
    <t>BASIC PENSION</t>
  </si>
  <si>
    <t>PRESENT DA</t>
  </si>
  <si>
    <t>100% DA</t>
  </si>
  <si>
    <t xml:space="preserve"> </t>
  </si>
  <si>
    <t>SCALE</t>
  </si>
  <si>
    <t>DEARNESS RELIEF PAYABLE TO BANK PENSIONERS FROM 01.08.2023 TO 31.01.2024</t>
  </si>
  <si>
    <t>RETIRED DURING THE PERIOD</t>
  </si>
  <si>
    <t>Average Index/ Slabs
Aug.23
Jan.24</t>
  </si>
  <si>
    <t>DA Rate per slab (%)</t>
  </si>
  <si>
    <t>DEARNESS RELIEF</t>
  </si>
  <si>
    <t>next slab</t>
  </si>
  <si>
    <t xml:space="preserve">
Amount   </t>
  </si>
  <si>
    <t>+</t>
  </si>
  <si>
    <t>% of Basic pension in excess of previous slab 
(vide column-2)</t>
  </si>
  <si>
    <t>Upto ₹1,250</t>
  </si>
  <si>
    <t>-</t>
  </si>
  <si>
    <t>₹1,251-₹2,000</t>
  </si>
  <si>
    <t>01.01.1986 to 30.06.1993</t>
  </si>
  <si>
    <t>₹2001-₹2,130</t>
  </si>
  <si>
    <t>above ₹2,130</t>
  </si>
  <si>
    <t>(over CPI 600 points)</t>
  </si>
  <si>
    <t>Upto ₹2,400</t>
  </si>
  <si>
    <t>₹2,401-₹3,850</t>
  </si>
  <si>
    <t>01.07.1993 to 31.03.1998</t>
  </si>
  <si>
    <t>₹3,851-₹4,100</t>
  </si>
  <si>
    <t>above ₹4,100</t>
  </si>
  <si>
    <t>(over CPI 1148 points)</t>
  </si>
  <si>
    <t>01.04.1998 to 31.10.2002</t>
  </si>
  <si>
    <t>Upto ₹3,550</t>
  </si>
  <si>
    <t>₹3,551-₹5,650</t>
  </si>
  <si>
    <t>₹5,651-₹6,010</t>
  </si>
  <si>
    <t>above ₹6,010</t>
  </si>
  <si>
    <t>(over CPI 1684 points)</t>
  </si>
  <si>
    <t>01.11.2002 to 31.10.2007</t>
  </si>
  <si>
    <t>On the entire Basic Amount</t>
  </si>
  <si>
    <t>(over CPI 2288 points)</t>
  </si>
  <si>
    <t>01.11.2007 to 31.10.2012</t>
  </si>
  <si>
    <t>(over CPI 2836 points)</t>
  </si>
  <si>
    <t>01.11.2012 to 31.10.2017</t>
  </si>
  <si>
    <t>(over CPI 4440 points)</t>
  </si>
  <si>
    <t>01.11.2017 ONWARDS</t>
  </si>
  <si>
    <t>(over CPI 6352 points)</t>
  </si>
  <si>
    <t>Chart Prepared by CBROA</t>
  </si>
  <si>
    <t>SLABS</t>
  </si>
  <si>
    <t>RETIREMENT PERIOD</t>
  </si>
  <si>
    <t>From 01.11.1992 /01.07.1993 to 31.03.1998</t>
  </si>
  <si>
    <t>from 01.01.986 to 31.10.1992/30.06.1993</t>
  </si>
  <si>
    <t>100% DA -AUG.2023</t>
  </si>
  <si>
    <t>100% DA NEUTRALISATION TO PRE-NOVEMBER 2002 RETIREES:</t>
  </si>
  <si>
    <t>CHART SHOWING MONTHLY INCREASE IN PENSION ON ACCOUNT OF 100% DA NEUTRALISATION UNDER VARIOUS SCLAES BASING ON DA RATES WEF AUGUST 2023</t>
  </si>
  <si>
    <t>From 01.04.1998 to 31.10.2002</t>
  </si>
  <si>
    <t>1251-2000</t>
  </si>
  <si>
    <t>2001-2130</t>
  </si>
  <si>
    <t>COMMUTAION AMOUNT</t>
  </si>
  <si>
    <t>TOTAL PENSION</t>
  </si>
  <si>
    <t>BASIC PENSION BEFORE COMMUATION</t>
  </si>
  <si>
    <t>DIFFERENCE (MONTHLY RISE IN PENSION)</t>
  </si>
  <si>
    <t>Upto Rs.1250/-</t>
  </si>
  <si>
    <t>100%</t>
  </si>
  <si>
    <t>0.67%</t>
  </si>
  <si>
    <t>NIL</t>
  </si>
  <si>
    <t>Rs.1251/- to Rs.2000/-</t>
  </si>
  <si>
    <t>82%</t>
  </si>
  <si>
    <t>0.55%</t>
  </si>
  <si>
    <t>Rs.2001/- to Rs.2130/-</t>
  </si>
  <si>
    <t>49%</t>
  </si>
  <si>
    <t>0.33%</t>
  </si>
  <si>
    <t>Rs.2131/- to Rs.2500/-</t>
  </si>
  <si>
    <t>25%</t>
  </si>
  <si>
    <t>0.17%</t>
  </si>
  <si>
    <t>Upto Rs.2400/-</t>
  </si>
  <si>
    <t>0.35%</t>
  </si>
  <si>
    <t>Rs.2401/- to Rs.3850/-</t>
  </si>
  <si>
    <t>83%</t>
  </si>
  <si>
    <t>0.29%</t>
  </si>
  <si>
    <t>Rs.3851/- to Rs.4100/-</t>
  </si>
  <si>
    <t>Rs.4101/- to Rs.5500/-</t>
  </si>
  <si>
    <t>26%</t>
  </si>
  <si>
    <t>0.09%</t>
  </si>
  <si>
    <t>Upto Rs.3550/-</t>
  </si>
  <si>
    <t>0.24%</t>
  </si>
  <si>
    <t>Rs.3551/-to Rs. 5650/-</t>
  </si>
  <si>
    <t>0.20%</t>
  </si>
  <si>
    <t>Rs.5651/ to Rs. 6010/-</t>
  </si>
  <si>
    <t>50%</t>
  </si>
  <si>
    <t>0.12%</t>
  </si>
  <si>
    <t>Rs.6011/-to Rs10000/-</t>
  </si>
  <si>
    <t>0.06%</t>
  </si>
  <si>
    <t>100% NEUTRALISATION OF DEARNESS RELIEF TO PRE-01.11.2002 BANK PENSIONERS – AVERAGE CPI @ 8705
(FEB. 2023 – JULY 2023) - - DIFFERENCE IN DEARNESS RELIEF</t>
  </si>
  <si>
    <t>Basic Pension</t>
  </si>
  <si>
    <t>Percentage of tapered Neutralisation of dearness relief</t>
  </si>
  <si>
    <t>Tapered Dearness Relief Percentage</t>
  </si>
  <si>
    <t>Compensation Rate @ 100% per Slab
Rs.P.</t>
  </si>
  <si>
    <t>Compensation &amp; Tapered Rate/Slab Rs.P.</t>
  </si>
  <si>
    <t>Difference in Compn Rate/Slab Rs.P.</t>
  </si>
  <si>
    <t>Difference in DR amount Per Month Rs.P.</t>
  </si>
  <si>
    <t>Those retired between 01.01.1986 &amp;  31.10.1992/30-06-1993 (2026 Slabs) 4th &amp; 5th BPS</t>
  </si>
  <si>
    <t>Those Retired between 01.11.1992/01-07-1993 &amp; 31.03.1998 (1889 Slabs) 6th BPS</t>
  </si>
  <si>
    <t>Those Retired between 01.04.1998 &amp; 31.10.2002 (1755 Slabs) 7th BPS</t>
  </si>
  <si>
    <t>NOTE: Bank Pensioners who retired on or after 01-11-2002, 01-11-2007, 01-11-2012 &amp; 01-11-2017 have already
been getting Dearness Relief @ 0.18%, 0.15%, 0.10%, 0.07% Per Slab for the entire Basic Pension @ 100%
neutralisation after merger of Dearness Relief @ 2288, 2836, 4440 &amp; 6352 points of CPI respectively.</t>
  </si>
  <si>
    <t>PENSION</t>
  </si>
  <si>
    <r>
      <rPr>
        <sz val="11"/>
        <color rgb="FF000000"/>
        <rFont val="Calibri"/>
        <family val="2"/>
      </rPr>
      <t>II</t>
    </r>
    <r>
      <rPr>
        <sz val="11"/>
        <color rgb="FF000000"/>
        <rFont val="Calibri"/>
        <family val="2"/>
      </rPr>
      <t xml:space="preserve">                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AVER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X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/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 xml:space="preserve">S
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%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ME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 xml:space="preserve">S
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X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6</t>
    </r>
    <r>
      <rPr>
        <b/>
        <sz val="11"/>
        <color rgb="FF000000"/>
        <rFont val="Calibri"/>
        <family val="2"/>
      </rPr>
      <t>6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 xml:space="preserve">%
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/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1-</t>
    </r>
    <r>
      <rPr>
        <b/>
        <sz val="11"/>
        <color rgb="FF000000"/>
        <rFont val="Calibri"/>
        <family val="2"/>
      </rPr>
      <t>03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8</t>
    </r>
  </si>
  <si>
    <r>
      <rPr>
        <sz val="11"/>
        <color rgb="FF000000"/>
        <rFont val="Calibri"/>
        <family val="2"/>
      </rPr>
      <t>III</t>
    </r>
    <r>
      <rPr>
        <sz val="11"/>
        <color rgb="FF000000"/>
        <rFont val="Calibri"/>
        <family val="2"/>
      </rPr>
      <t xml:space="preserve">              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AVER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G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X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6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/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 xml:space="preserve">S
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%</t>
    </r>
    <r>
      <rPr>
        <b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ME</t>
    </r>
    <r>
      <rPr>
        <b/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>N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5</t>
    </r>
    <r>
      <rPr>
        <b/>
        <sz val="11"/>
        <color rgb="FF000000"/>
        <rFont val="Calibri"/>
        <family val="2"/>
      </rPr>
      <t>X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=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%
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Calibri"/>
        <family val="2"/>
      </rPr>
      <t>8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0</t>
    </r>
    <r>
      <rPr>
        <b/>
        <sz val="11"/>
        <color rgb="FF000000"/>
        <rFont val="Calibri"/>
        <family val="2"/>
      </rPr>
      <t>2</t>
    </r>
  </si>
  <si>
    <t>DA</t>
  </si>
  <si>
    <t>BASIC</t>
  </si>
  <si>
    <r>
      <t xml:space="preserve">100% D.A.NEUTRALISATION MEANS 2026X0.67=1357.42% 
AVERAGE INDEX=8705 - 600=8105/4= 2026 SLABS    I                  1-1-1986 TO 31-10-1992/30-06-1993
</t>
    </r>
    <r>
      <rPr>
        <sz val="11"/>
        <color rgb="FF000000"/>
        <rFont val="Calibri"/>
        <family val="2"/>
      </rPr>
      <t xml:space="preserve"> </t>
    </r>
  </si>
  <si>
    <t>PERIOD</t>
  </si>
  <si>
    <t>2401-3850</t>
  </si>
  <si>
    <t>3851-4100</t>
  </si>
  <si>
    <t>3551-5650</t>
  </si>
  <si>
    <t>5651-6010</t>
  </si>
  <si>
    <t>100% DA NEUTRALSIATION TO PRE-NOVEMEBR 2002 RETIREES</t>
  </si>
  <si>
    <t xml:space="preserve">Retired between 01.01.1986 &amp;  31.10.1992/30-06-1993 </t>
  </si>
  <si>
    <t xml:space="preserve">Retired between 01.11.1992/
01-07-1993 &amp; 31.03.1998 </t>
  </si>
  <si>
    <t>Retired between 01.04.1998 &amp; 31.10.2002</t>
  </si>
  <si>
    <t>CHECK YOUR NEW PENSION/MONTHLY INCREASE IN PENSION:</t>
  </si>
  <si>
    <t>Retired between 01.11.2002 to 31.10.2007</t>
  </si>
  <si>
    <t>Retired between 01.11.2007 &amp; 31.10.2012</t>
  </si>
  <si>
    <t>Retired between 01.11.2012 &amp; 31.10.2017</t>
  </si>
  <si>
    <t>Retired after 01.11.2017 onwards</t>
  </si>
  <si>
    <r>
      <t xml:space="preserve">OLD DA
</t>
    </r>
    <r>
      <rPr>
        <b/>
        <sz val="11"/>
        <rFont val="Calibri"/>
        <family val="2"/>
      </rPr>
      <t xml:space="preserve"> (TILL JULY 2023)</t>
    </r>
  </si>
  <si>
    <r>
      <t xml:space="preserve">NEW DA
 </t>
    </r>
    <r>
      <rPr>
        <b/>
        <sz val="11"/>
        <rFont val="Calibri"/>
        <family val="2"/>
      </rPr>
      <t>(AUG.23-JAN.24)</t>
    </r>
  </si>
  <si>
    <t>DEARNESS RELIEF PAYABLE TO BANK PENSIONERS FROM 01.02.2023 TO 31.07.2023</t>
  </si>
  <si>
    <t>01.01.1986 to 31.10.1992</t>
  </si>
  <si>
    <t>(WORKMEN)</t>
  </si>
  <si>
    <t>(OFFICERS)</t>
  </si>
  <si>
    <t>01.11.1992 to 31.03.1998</t>
  </si>
  <si>
    <r>
      <rPr>
        <b/>
        <u/>
        <sz val="12"/>
        <color rgb="FFFF0000"/>
        <rFont val="Calibri"/>
        <family val="2"/>
      </rPr>
      <t>INSTRUCTIONS</t>
    </r>
    <r>
      <rPr>
        <b/>
        <sz val="12"/>
        <rFont val="Calibri"/>
        <family val="2"/>
      </rPr>
      <t xml:space="preserve">: CHOSE YOUR RETIREMENT PERIOD AND THEN GIVE INPUT UNDER COLUMN 2 AND 3, IF COMMUTATION IS RESTORED GIVE </t>
    </r>
    <r>
      <rPr>
        <b/>
        <sz val="12"/>
        <color rgb="FFFF0000"/>
        <rFont val="Calibri"/>
        <family val="2"/>
      </rPr>
      <t xml:space="preserve">INPUT '0' </t>
    </r>
    <r>
      <rPr>
        <b/>
        <sz val="12"/>
        <rFont val="Calibri"/>
        <family val="2"/>
      </rPr>
      <t>IN COLUMN 3</t>
    </r>
  </si>
  <si>
    <t>DA (AUG.23) BEFORE 100% NEUTRALIZATION</t>
  </si>
  <si>
    <t>NEW DA (AUG.23) AFTER 100% NEUTRALISATION</t>
  </si>
  <si>
    <t>PLEASE FREE TO INFORM IF ANY DISCREPANCY IS FOUND IN THE CALCULATION SHEET.    CONTACT NO. 9448508797</t>
  </si>
  <si>
    <t>PACKAGE DEVELOPED BY J S JAGADEESH, GS, CBROA</t>
  </si>
  <si>
    <r>
      <t xml:space="preserve">Notes: All </t>
    </r>
    <r>
      <rPr>
        <b/>
        <sz val="11"/>
        <color rgb="FFFF0000"/>
        <rFont val="Calibri"/>
        <family val="2"/>
      </rPr>
      <t>sub-staff</t>
    </r>
    <r>
      <rPr>
        <b/>
        <sz val="11"/>
        <rFont val="Calibri"/>
        <family val="2"/>
      </rPr>
      <t xml:space="preserve"> will get an </t>
    </r>
    <r>
      <rPr>
        <b/>
        <sz val="11"/>
        <color rgb="FFFF0000"/>
        <rFont val="Calibri"/>
        <family val="2"/>
      </rPr>
      <t>ex-gratia of Rs.800/</t>
    </r>
    <r>
      <rPr>
        <b/>
        <sz val="11"/>
        <rFont val="Calibri"/>
        <family val="2"/>
      </rPr>
      <t xml:space="preserve">- since there will be no increase  on account 100% DA neutralisation. All </t>
    </r>
    <r>
      <rPr>
        <b/>
        <sz val="11"/>
        <color rgb="FFFF0000"/>
        <rFont val="Calibri"/>
        <family val="2"/>
      </rPr>
      <t>workmen employees</t>
    </r>
    <r>
      <rPr>
        <b/>
        <sz val="11"/>
        <rFont val="Calibri"/>
        <family val="2"/>
      </rPr>
      <t xml:space="preserve"> will get an </t>
    </r>
    <r>
      <rPr>
        <b/>
        <sz val="11"/>
        <color rgb="FFFF0000"/>
        <rFont val="Calibri"/>
        <family val="2"/>
      </rPr>
      <t>ex-gratia of Rs.450/</t>
    </r>
    <r>
      <rPr>
        <b/>
        <sz val="11"/>
        <rFont val="Calibri"/>
        <family val="2"/>
      </rPr>
      <t>- in addition to any increase in DA.</t>
    </r>
  </si>
  <si>
    <t>COMMUTED PORTION OF PENSION</t>
  </si>
  <si>
    <t>FOR THOSE RETIRED ON OR AFTER 01.11.2002 - NEW DA FROM AUG.2023 ONWARDS</t>
  </si>
  <si>
    <t>Average Index/ Slabs
Feb.23
July 23</t>
  </si>
  <si>
    <t>DA 
(JULY 23)</t>
  </si>
  <si>
    <t>PENSION AS ON JULY 23</t>
  </si>
  <si>
    <t>MONTHLY RISE IN PENSION</t>
  </si>
  <si>
    <t>JULY 23 DA</t>
  </si>
  <si>
    <t>% increase</t>
  </si>
  <si>
    <t>factor</t>
  </si>
  <si>
    <t>new basic</t>
  </si>
  <si>
    <t>DIFF</t>
  </si>
  <si>
    <t>% INCR</t>
  </si>
  <si>
    <t>DA MERGER AT 6352 POINTS</t>
  </si>
  <si>
    <t>NEW BASIC</t>
  </si>
  <si>
    <t>FACTOR</t>
  </si>
  <si>
    <t>DA 11 BPS</t>
  </si>
  <si>
    <t>% INC</t>
  </si>
  <si>
    <t>01.11.2002-31.10.2007</t>
  </si>
  <si>
    <t>8th BPS</t>
  </si>
  <si>
    <t>5th BPS</t>
  </si>
  <si>
    <t>6th BPS</t>
  </si>
  <si>
    <t>7th BPS</t>
  </si>
  <si>
    <t>9th BPS</t>
  </si>
  <si>
    <t>10th BPS</t>
  </si>
  <si>
    <t>11th BPS</t>
  </si>
  <si>
    <t>DA PER SLAB</t>
  </si>
  <si>
    <t>AVERAGE CPI-AUG.23</t>
  </si>
  <si>
    <t>DA OVER CPI POINTS</t>
  </si>
  <si>
    <t>01.11.2007-31.10.2012</t>
  </si>
  <si>
    <t>01.11.2012 -</t>
  </si>
  <si>
    <t>01.11.2012 -31.10.2017</t>
  </si>
  <si>
    <t>01.11.2017-31.102022</t>
  </si>
  <si>
    <t xml:space="preserve">   </t>
  </si>
  <si>
    <t xml:space="preserve">9TH TO 11TH </t>
  </si>
  <si>
    <t>10TH TO 11TH</t>
  </si>
  <si>
    <t>9TH -10TH</t>
  </si>
  <si>
    <t>8TH TO 9TH</t>
  </si>
  <si>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c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n</t>
    </r>
  </si>
  <si>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erce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g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of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ered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Ne</t>
    </r>
    <r>
      <rPr>
        <b/>
        <sz val="11"/>
        <color rgb="FF000000"/>
        <rFont val="Verdana"/>
        <family val="2"/>
      </rPr>
      <t>u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ra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on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of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ef</t>
    </r>
  </si>
  <si>
    <r>
      <rPr>
        <b/>
        <sz val="11"/>
        <color rgb="FF000000"/>
        <rFont val="Verdana"/>
        <family val="2"/>
      </rPr>
      <t>Ta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ered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ef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erce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g</t>
    </r>
    <r>
      <rPr>
        <b/>
        <sz val="11"/>
        <color rgb="FF000000"/>
        <rFont val="Verdana"/>
        <family val="2"/>
      </rPr>
      <t>e</t>
    </r>
  </si>
  <si>
    <r>
      <rPr>
        <b/>
        <sz val="11"/>
        <color rgb="FF000000"/>
        <rFont val="Verdana"/>
        <family val="2"/>
      </rPr>
      <t>C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m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on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te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@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%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 xml:space="preserve">b
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P.</t>
    </r>
  </si>
  <si>
    <r>
      <rPr>
        <b/>
        <sz val="11"/>
        <color rgb="FF000000"/>
        <rFont val="Verdana"/>
        <family val="2"/>
      </rPr>
      <t>C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m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on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&amp;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Ta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ered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te</t>
    </r>
    <r>
      <rPr>
        <b/>
        <sz val="11"/>
        <color rgb="FF000000"/>
        <rFont val="Verdana"/>
        <family val="2"/>
      </rPr>
      <t>/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P.</t>
    </r>
  </si>
  <si>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f</t>
    </r>
    <r>
      <rPr>
        <b/>
        <sz val="11"/>
        <color rgb="FF000000"/>
        <rFont val="Verdana"/>
        <family val="2"/>
      </rPr>
      <t>f</t>
    </r>
    <r>
      <rPr>
        <b/>
        <sz val="11"/>
        <color rgb="FF000000"/>
        <rFont val="Verdana"/>
        <family val="2"/>
      </rPr>
      <t>ere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ce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C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m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te</t>
    </r>
    <r>
      <rPr>
        <b/>
        <sz val="11"/>
        <color rgb="FF000000"/>
        <rFont val="Verdana"/>
        <family val="2"/>
      </rPr>
      <t>/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P.</t>
    </r>
  </si>
  <si>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f</t>
    </r>
    <r>
      <rPr>
        <b/>
        <sz val="11"/>
        <color rgb="FF000000"/>
        <rFont val="Verdana"/>
        <family val="2"/>
      </rPr>
      <t>f</t>
    </r>
    <r>
      <rPr>
        <b/>
        <sz val="11"/>
        <color rgb="FF000000"/>
        <rFont val="Verdana"/>
        <family val="2"/>
      </rPr>
      <t>ere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ce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in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m</t>
    </r>
    <r>
      <rPr>
        <b/>
        <sz val="11"/>
        <color rgb="FF000000"/>
        <rFont val="Verdana"/>
        <family val="2"/>
      </rPr>
      <t>ou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M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h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P.</t>
    </r>
  </si>
  <si>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h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red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et</t>
    </r>
    <r>
      <rPr>
        <b/>
        <sz val="11"/>
        <color rgb="FF000000"/>
        <rFont val="Verdana"/>
        <family val="2"/>
      </rPr>
      <t>w</t>
    </r>
    <r>
      <rPr>
        <b/>
        <sz val="11"/>
        <color rgb="FF000000"/>
        <rFont val="Verdana"/>
        <family val="2"/>
      </rPr>
      <t>een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8</t>
    </r>
    <r>
      <rPr>
        <b/>
        <sz val="11"/>
        <color rgb="FF000000"/>
        <rFont val="Verdana"/>
        <family val="2"/>
      </rPr>
      <t>6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&amp;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/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>0-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6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199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(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6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)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4</t>
    </r>
    <r>
      <rPr>
        <b/>
        <sz val="7"/>
        <color rgb="FF000000"/>
        <rFont val="Verdana"/>
        <family val="2"/>
      </rPr>
      <t>t</t>
    </r>
    <r>
      <rPr>
        <b/>
        <sz val="7"/>
        <color rgb="FF000000"/>
        <rFont val="Verdana"/>
        <family val="2"/>
      </rPr>
      <t>h</t>
    </r>
    <r>
      <rPr>
        <b/>
        <sz val="7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&amp;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5</t>
    </r>
    <r>
      <rPr>
        <b/>
        <sz val="7"/>
        <color rgb="FF000000"/>
        <rFont val="Verdana"/>
        <family val="2"/>
      </rPr>
      <t>t</t>
    </r>
    <r>
      <rPr>
        <b/>
        <sz val="7"/>
        <color rgb="FF000000"/>
        <rFont val="Verdana"/>
        <family val="2"/>
      </rPr>
      <t>h</t>
    </r>
    <r>
      <rPr>
        <b/>
        <sz val="7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S</t>
    </r>
  </si>
  <si>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h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ed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et</t>
    </r>
    <r>
      <rPr>
        <b/>
        <sz val="11"/>
        <color rgb="FF000000"/>
        <rFont val="Verdana"/>
        <family val="2"/>
      </rPr>
      <t>w</t>
    </r>
    <r>
      <rPr>
        <b/>
        <sz val="11"/>
        <color rgb="FF000000"/>
        <rFont val="Verdana"/>
        <family val="2"/>
      </rPr>
      <t>een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/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07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&amp;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8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(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88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)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6</t>
    </r>
    <r>
      <rPr>
        <b/>
        <sz val="7"/>
        <color rgb="FF000000"/>
        <rFont val="Verdana"/>
        <family val="2"/>
      </rPr>
      <t>t</t>
    </r>
    <r>
      <rPr>
        <b/>
        <sz val="7"/>
        <color rgb="FF000000"/>
        <rFont val="Verdana"/>
        <family val="2"/>
      </rPr>
      <t>h</t>
    </r>
    <r>
      <rPr>
        <b/>
        <sz val="7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S</t>
    </r>
  </si>
  <si>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h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ed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bet</t>
    </r>
    <r>
      <rPr>
        <b/>
        <sz val="11"/>
        <color rgb="FF000000"/>
        <rFont val="Verdana"/>
        <family val="2"/>
      </rPr>
      <t>w</t>
    </r>
    <r>
      <rPr>
        <b/>
        <sz val="11"/>
        <color rgb="FF000000"/>
        <rFont val="Verdana"/>
        <family val="2"/>
      </rPr>
      <t>een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4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9</t>
    </r>
    <r>
      <rPr>
        <b/>
        <sz val="11"/>
        <color rgb="FF000000"/>
        <rFont val="Verdana"/>
        <family val="2"/>
      </rPr>
      <t>8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&amp;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(</t>
    </r>
    <r>
      <rPr>
        <b/>
        <sz val="11"/>
        <color rgb="FF000000"/>
        <rFont val="Verdana"/>
        <family val="2"/>
      </rPr>
      <t>175</t>
    </r>
    <r>
      <rPr>
        <b/>
        <sz val="11"/>
        <color rgb="FF000000"/>
        <rFont val="Verdana"/>
        <family val="2"/>
      </rPr>
      <t>5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)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7</t>
    </r>
    <r>
      <rPr>
        <b/>
        <sz val="7"/>
        <color rgb="FF000000"/>
        <rFont val="Verdana"/>
        <family val="2"/>
      </rPr>
      <t>t</t>
    </r>
    <r>
      <rPr>
        <b/>
        <sz val="7"/>
        <color rgb="FF000000"/>
        <rFont val="Verdana"/>
        <family val="2"/>
      </rPr>
      <t>h</t>
    </r>
    <r>
      <rPr>
        <b/>
        <sz val="7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S</t>
    </r>
  </si>
  <si>
    <r>
      <rPr>
        <b/>
        <sz val="11"/>
        <color rgb="FF000000"/>
        <rFont val="Verdana"/>
        <family val="2"/>
      </rPr>
      <t>NOT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: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k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one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w</t>
    </r>
    <r>
      <rPr>
        <b/>
        <sz val="11"/>
        <color rgb="FF000000"/>
        <rFont val="Verdana"/>
        <family val="2"/>
      </rPr>
      <t>h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red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or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ft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11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2002</t>
    </r>
    <r>
      <rPr>
        <b/>
        <sz val="11"/>
        <color rgb="FF000000"/>
        <rFont val="Verdana"/>
        <family val="2"/>
      </rPr>
      <t>,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11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2007</t>
    </r>
    <r>
      <rPr>
        <b/>
        <sz val="11"/>
        <color rgb="FF000000"/>
        <rFont val="Verdana"/>
        <family val="2"/>
      </rPr>
      <t>,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1-</t>
    </r>
    <r>
      <rPr>
        <b/>
        <sz val="11"/>
        <color rgb="FF000000"/>
        <rFont val="Verdana"/>
        <family val="2"/>
      </rPr>
      <t>11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&amp;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-</t>
    </r>
    <r>
      <rPr>
        <b/>
        <sz val="11"/>
        <color rgb="FF000000"/>
        <rFont val="Verdana"/>
        <family val="2"/>
      </rPr>
      <t>201</t>
    </r>
    <r>
      <rPr>
        <b/>
        <sz val="11"/>
        <color rgb="FF000000"/>
        <rFont val="Verdana"/>
        <family val="2"/>
      </rPr>
      <t>7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h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ve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rea</t>
    </r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 xml:space="preserve">y
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een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g</t>
    </r>
    <r>
      <rPr>
        <b/>
        <sz val="11"/>
        <color rgb="FF000000"/>
        <rFont val="Verdana"/>
        <family val="2"/>
      </rPr>
      <t>ett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g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ef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@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8</t>
    </r>
    <r>
      <rPr>
        <b/>
        <sz val="11"/>
        <color rgb="FF000000"/>
        <rFont val="Verdana"/>
        <family val="2"/>
      </rPr>
      <t>%</t>
    </r>
    <r>
      <rPr>
        <b/>
        <sz val="11"/>
        <color rgb="FF000000"/>
        <rFont val="Verdana"/>
        <family val="2"/>
      </rPr>
      <t>,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5</t>
    </r>
    <r>
      <rPr>
        <b/>
        <sz val="11"/>
        <color rgb="FF000000"/>
        <rFont val="Verdana"/>
        <family val="2"/>
      </rPr>
      <t>%,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%,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.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7</t>
    </r>
    <r>
      <rPr>
        <b/>
        <sz val="11"/>
        <color rgb="FF000000"/>
        <rFont val="Verdana"/>
        <family val="2"/>
      </rPr>
      <t>%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f</t>
    </r>
    <r>
      <rPr>
        <b/>
        <sz val="11"/>
        <color rgb="FF000000"/>
        <rFont val="Verdana"/>
        <family val="2"/>
      </rPr>
      <t>or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h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re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B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c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@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1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 xml:space="preserve">%
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u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on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ft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m</t>
    </r>
    <r>
      <rPr>
        <b/>
        <sz val="11"/>
        <color rgb="FF000000"/>
        <rFont val="Verdana"/>
        <family val="2"/>
      </rPr>
      <t>erger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of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D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a</t>
    </r>
    <r>
      <rPr>
        <b/>
        <sz val="11"/>
        <color rgb="FF000000"/>
        <rFont val="Verdana"/>
        <family val="2"/>
      </rPr>
      <t>r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e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ef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@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8</t>
    </r>
    <r>
      <rPr>
        <b/>
        <sz val="11"/>
        <color rgb="FF000000"/>
        <rFont val="Verdana"/>
        <family val="2"/>
      </rPr>
      <t>8</t>
    </r>
    <r>
      <rPr>
        <b/>
        <sz val="11"/>
        <color rgb="FF000000"/>
        <rFont val="Verdana"/>
        <family val="2"/>
      </rPr>
      <t>,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>8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>6</t>
    </r>
    <r>
      <rPr>
        <b/>
        <sz val="11"/>
        <color rgb="FF000000"/>
        <rFont val="Verdana"/>
        <family val="2"/>
      </rPr>
      <t>,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4</t>
    </r>
    <r>
      <rPr>
        <b/>
        <sz val="11"/>
        <color rgb="FF000000"/>
        <rFont val="Verdana"/>
        <family val="2"/>
      </rPr>
      <t>4</t>
    </r>
    <r>
      <rPr>
        <b/>
        <sz val="11"/>
        <color rgb="FF000000"/>
        <rFont val="Verdana"/>
        <family val="2"/>
      </rPr>
      <t>4</t>
    </r>
    <r>
      <rPr>
        <b/>
        <sz val="11"/>
        <color rgb="FF000000"/>
        <rFont val="Verdana"/>
        <family val="2"/>
      </rPr>
      <t>0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&amp;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6</t>
    </r>
    <r>
      <rPr>
        <b/>
        <sz val="11"/>
        <color rgb="FF000000"/>
        <rFont val="Verdana"/>
        <family val="2"/>
      </rPr>
      <t>3</t>
    </r>
    <r>
      <rPr>
        <b/>
        <sz val="11"/>
        <color rgb="FF000000"/>
        <rFont val="Verdana"/>
        <family val="2"/>
      </rPr>
      <t>5</t>
    </r>
    <r>
      <rPr>
        <b/>
        <sz val="11"/>
        <color rgb="FF000000"/>
        <rFont val="Verdana"/>
        <family val="2"/>
      </rPr>
      <t>2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o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n</t>
    </r>
    <r>
      <rPr>
        <b/>
        <sz val="11"/>
        <color rgb="FF000000"/>
        <rFont val="Verdana"/>
        <family val="2"/>
      </rPr>
      <t>ts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of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C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>re</t>
    </r>
    <r>
      <rPr>
        <b/>
        <sz val="11"/>
        <color rgb="FF000000"/>
        <rFont val="Verdana"/>
        <family val="2"/>
      </rPr>
      <t>s</t>
    </r>
    <r>
      <rPr>
        <b/>
        <sz val="11"/>
        <color rgb="FF000000"/>
        <rFont val="Verdana"/>
        <family val="2"/>
      </rPr>
      <t>p</t>
    </r>
    <r>
      <rPr>
        <b/>
        <sz val="11"/>
        <color rgb="FF000000"/>
        <rFont val="Verdana"/>
        <family val="2"/>
      </rPr>
      <t>ect</t>
    </r>
    <r>
      <rPr>
        <b/>
        <sz val="11"/>
        <color rgb="FF000000"/>
        <rFont val="Verdana"/>
        <family val="2"/>
      </rPr>
      <t>i</t>
    </r>
    <r>
      <rPr>
        <b/>
        <sz val="11"/>
        <color rgb="FF000000"/>
        <rFont val="Verdana"/>
        <family val="2"/>
      </rPr>
      <t>ve</t>
    </r>
    <r>
      <rPr>
        <b/>
        <sz val="11"/>
        <color rgb="FF000000"/>
        <rFont val="Verdana"/>
        <family val="2"/>
      </rPr>
      <t>l</t>
    </r>
    <r>
      <rPr>
        <b/>
        <sz val="11"/>
        <color rgb="FF000000"/>
        <rFont val="Verdana"/>
        <family val="2"/>
      </rPr>
      <t>y</t>
    </r>
    <r>
      <rPr>
        <b/>
        <sz val="11"/>
        <color rgb="FF000000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</si>
</sst>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33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Calibri"/>
      <family val="2"/>
      <charset val="204"/>
    </font>
    <font>
      <sz val="10"/>
      <color rgb="FF000000"/>
      <name val="Verdana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u/>
      <sz val="12"/>
      <color rgb="FFFF0000"/>
      <name val="Calibri"/>
      <family val="2"/>
    </font>
    <font>
      <b/>
      <sz val="14"/>
      <color rgb="FF00B050"/>
      <name val="Calibri"/>
      <family val="2"/>
    </font>
    <font>
      <b/>
      <sz val="11"/>
      <color rgb="FF00B0F0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  <charset val="204"/>
    </font>
    <font>
      <b/>
      <sz val="11"/>
      <color rgb="FF000000"/>
      <name val="Verdana"/>
      <family val="2"/>
    </font>
    <font>
      <b/>
      <sz val="7"/>
      <color rgb="FF000000"/>
      <name val="Verdana"/>
      <family val="2"/>
    </font>
    <font>
      <sz val="11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35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 indent="1"/>
    </xf>
    <xf numFmtId="0" fontId="3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indent="1"/>
    </xf>
    <xf numFmtId="164" fontId="6" fillId="2" borderId="10" xfId="0" quotePrefix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quotePrefix="1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left" indent="1"/>
    </xf>
    <xf numFmtId="164" fontId="6" fillId="0" borderId="1" xfId="0" quotePrefix="1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left" indent="2"/>
    </xf>
    <xf numFmtId="1" fontId="5" fillId="0" borderId="7" xfId="0" applyNumberFormat="1" applyFont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164" fontId="6" fillId="0" borderId="13" xfId="0" quotePrefix="1" applyNumberFormat="1" applyFont="1" applyBorder="1" applyAlignment="1">
      <alignment horizontal="center" vertical="top"/>
    </xf>
    <xf numFmtId="10" fontId="5" fillId="0" borderId="23" xfId="0" applyNumberFormat="1" applyFont="1" applyBorder="1" applyAlignment="1">
      <alignment horizontal="left" vertical="top" indent="2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26" xfId="0" quotePrefix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indent="2"/>
    </xf>
    <xf numFmtId="0" fontId="3" fillId="0" borderId="14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indent="2"/>
    </xf>
    <xf numFmtId="2" fontId="3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1" fontId="2" fillId="0" borderId="5" xfId="0" applyNumberFormat="1" applyFont="1" applyBorder="1" applyAlignment="1">
      <alignment horizontal="right" vertical="top" indent="1"/>
    </xf>
    <xf numFmtId="2" fontId="2" fillId="0" borderId="5" xfId="0" applyNumberFormat="1" applyFont="1" applyBorder="1" applyAlignment="1">
      <alignment horizontal="right" vertical="top" indent="1"/>
    </xf>
    <xf numFmtId="2" fontId="1" fillId="0" borderId="5" xfId="0" applyNumberFormat="1" applyFont="1" applyBorder="1" applyAlignment="1">
      <alignment horizontal="right" vertical="top" inden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right" vertical="top" indent="1"/>
    </xf>
    <xf numFmtId="164" fontId="3" fillId="0" borderId="5" xfId="0" applyNumberFormat="1" applyFont="1" applyBorder="1" applyAlignment="1">
      <alignment horizontal="right" vertical="top" indent="1"/>
    </xf>
    <xf numFmtId="164" fontId="2" fillId="0" borderId="5" xfId="0" applyNumberFormat="1" applyFont="1" applyBorder="1" applyAlignment="1">
      <alignment horizontal="right" vertical="top" inden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top" indent="1"/>
    </xf>
    <xf numFmtId="0" fontId="10" fillId="0" borderId="0" xfId="0" applyFont="1"/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 wrapText="1"/>
    </xf>
    <xf numFmtId="0" fontId="0" fillId="5" borderId="5" xfId="0" applyFill="1" applyBorder="1"/>
    <xf numFmtId="10" fontId="1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7" fillId="0" borderId="26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8" xfId="0" applyFont="1" applyBorder="1"/>
    <xf numFmtId="0" fontId="7" fillId="0" borderId="12" xfId="0" applyFont="1" applyBorder="1" applyAlignment="1">
      <alignment vertical="top"/>
    </xf>
    <xf numFmtId="0" fontId="0" fillId="0" borderId="5" xfId="0" applyBorder="1"/>
    <xf numFmtId="0" fontId="7" fillId="0" borderId="14" xfId="0" applyFont="1" applyBorder="1" applyAlignment="1">
      <alignment vertical="top"/>
    </xf>
    <xf numFmtId="0" fontId="7" fillId="0" borderId="27" xfId="0" applyFont="1" applyBorder="1" applyAlignment="1">
      <alignment vertical="top" wrapText="1"/>
    </xf>
    <xf numFmtId="0" fontId="7" fillId="0" borderId="27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10" fontId="5" fillId="0" borderId="26" xfId="0" applyNumberFormat="1" applyFont="1" applyBorder="1" applyAlignment="1">
      <alignment vertical="center"/>
    </xf>
    <xf numFmtId="10" fontId="5" fillId="0" borderId="16" xfId="0" applyNumberFormat="1" applyFont="1" applyBorder="1" applyAlignment="1">
      <alignment vertical="center"/>
    </xf>
    <xf numFmtId="10" fontId="5" fillId="0" borderId="17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0" fontId="5" fillId="0" borderId="18" xfId="0" applyNumberFormat="1" applyFont="1" applyBorder="1" applyAlignment="1">
      <alignment vertical="center"/>
    </xf>
    <xf numFmtId="10" fontId="5" fillId="0" borderId="12" xfId="0" applyNumberFormat="1" applyFont="1" applyBorder="1" applyAlignment="1">
      <alignment vertical="center"/>
    </xf>
    <xf numFmtId="10" fontId="5" fillId="0" borderId="13" xfId="0" applyNumberFormat="1" applyFont="1" applyBorder="1" applyAlignment="1">
      <alignment vertical="center"/>
    </xf>
    <xf numFmtId="10" fontId="5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/>
    <xf numFmtId="0" fontId="3" fillId="3" borderId="5" xfId="0" applyFont="1" applyFill="1" applyBorder="1" applyAlignment="1">
      <alignment horizontal="left" vertical="top"/>
    </xf>
    <xf numFmtId="10" fontId="5" fillId="0" borderId="5" xfId="0" applyNumberFormat="1" applyFont="1" applyBorder="1" applyAlignment="1">
      <alignment horizontal="left" indent="2"/>
    </xf>
    <xf numFmtId="10" fontId="5" fillId="0" borderId="5" xfId="0" applyNumberFormat="1" applyFont="1" applyBorder="1" applyAlignment="1">
      <alignment horizontal="left" vertical="top" indent="2"/>
    </xf>
    <xf numFmtId="0" fontId="0" fillId="0" borderId="0" xfId="0" applyAlignment="1">
      <alignment horizontal="center" vertical="center"/>
    </xf>
    <xf numFmtId="10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 vertical="top"/>
    </xf>
    <xf numFmtId="10" fontId="5" fillId="0" borderId="18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 vertical="top"/>
    </xf>
    <xf numFmtId="10" fontId="14" fillId="0" borderId="5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0" fontId="16" fillId="0" borderId="0" xfId="0" applyFont="1"/>
    <xf numFmtId="0" fontId="17" fillId="0" borderId="24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top"/>
    </xf>
    <xf numFmtId="0" fontId="17" fillId="0" borderId="14" xfId="0" applyFont="1" applyBorder="1" applyAlignment="1">
      <alignment horizontal="left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left" vertical="top"/>
    </xf>
    <xf numFmtId="0" fontId="17" fillId="0" borderId="19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indent="1"/>
    </xf>
    <xf numFmtId="1" fontId="2" fillId="0" borderId="1" xfId="0" applyNumberFormat="1" applyFont="1" applyBorder="1" applyAlignment="1">
      <alignment horizontal="left" vertical="top" indent="1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right" vertical="top" indent="1"/>
    </xf>
    <xf numFmtId="0" fontId="0" fillId="0" borderId="0" xfId="0" applyAlignment="1">
      <alignment horizontal="right" indent="1"/>
    </xf>
    <xf numFmtId="0" fontId="5" fillId="2" borderId="1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right" vertical="top" indent="1"/>
    </xf>
    <xf numFmtId="0" fontId="19" fillId="2" borderId="5" xfId="0" applyFont="1" applyFill="1" applyBorder="1" applyAlignment="1">
      <alignment wrapText="1"/>
    </xf>
    <xf numFmtId="0" fontId="19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10" fontId="14" fillId="0" borderId="18" xfId="0" applyNumberFormat="1" applyFont="1" applyBorder="1" applyAlignment="1">
      <alignment horizontal="left" indent="2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indent="1"/>
    </xf>
    <xf numFmtId="10" fontId="5" fillId="0" borderId="17" xfId="0" applyNumberFormat="1" applyFont="1" applyBorder="1" applyAlignment="1">
      <alignment horizontal="left" indent="2"/>
    </xf>
    <xf numFmtId="0" fontId="5" fillId="7" borderId="5" xfId="0" applyFont="1" applyFill="1" applyBorder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quotePrefix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0" fillId="0" borderId="0" xfId="0" applyNumberFormat="1"/>
    <xf numFmtId="1" fontId="11" fillId="0" borderId="5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5" fillId="0" borderId="5" xfId="0" applyFont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10" fontId="0" fillId="2" borderId="0" xfId="0" applyNumberFormat="1" applyFill="1"/>
    <xf numFmtId="0" fontId="9" fillId="0" borderId="5" xfId="0" applyFont="1" applyBorder="1" applyAlignment="1">
      <alignment horizontal="center" vertical="top"/>
    </xf>
    <xf numFmtId="164" fontId="0" fillId="0" borderId="5" xfId="0" applyNumberFormat="1" applyBorder="1"/>
    <xf numFmtId="1" fontId="0" fillId="0" borderId="5" xfId="0" applyNumberFormat="1" applyBorder="1"/>
    <xf numFmtId="2" fontId="0" fillId="0" borderId="5" xfId="0" applyNumberFormat="1" applyBorder="1"/>
    <xf numFmtId="0" fontId="4" fillId="0" borderId="0" xfId="0" applyFont="1"/>
    <xf numFmtId="0" fontId="26" fillId="0" borderId="5" xfId="1" quotePrefix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1" fontId="0" fillId="2" borderId="5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0" fontId="19" fillId="2" borderId="0" xfId="0" applyFont="1" applyFill="1"/>
    <xf numFmtId="16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27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0" fillId="0" borderId="5" xfId="0" quotePrefix="1" applyBorder="1" applyAlignment="1">
      <alignment horizontal="center"/>
    </xf>
    <xf numFmtId="9" fontId="0" fillId="0" borderId="0" xfId="0" applyNumberFormat="1"/>
    <xf numFmtId="1" fontId="1" fillId="0" borderId="5" xfId="0" applyNumberFormat="1" applyFont="1" applyBorder="1" applyAlignment="1">
      <alignment horizontal="right" vertical="top" indent="1"/>
    </xf>
    <xf numFmtId="1" fontId="1" fillId="0" borderId="5" xfId="0" applyNumberFormat="1" applyFont="1" applyBorder="1" applyAlignment="1">
      <alignment vertical="top"/>
    </xf>
    <xf numFmtId="2" fontId="0" fillId="0" borderId="0" xfId="0" applyNumberFormat="1"/>
    <xf numFmtId="2" fontId="29" fillId="0" borderId="0" xfId="0" applyNumberFormat="1" applyFont="1"/>
    <xf numFmtId="0" fontId="29" fillId="0" borderId="0" xfId="0" applyFont="1"/>
    <xf numFmtId="1" fontId="2" fillId="2" borderId="5" xfId="0" applyNumberFormat="1" applyFont="1" applyFill="1" applyBorder="1" applyAlignment="1">
      <alignment horizontal="right" vertical="top" indent="1"/>
    </xf>
    <xf numFmtId="1" fontId="1" fillId="0" borderId="7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24" fillId="0" borderId="5" xfId="0" applyFont="1" applyBorder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4" borderId="49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3" fillId="4" borderId="5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3" fillId="4" borderId="29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/>
    </xf>
    <xf numFmtId="0" fontId="7" fillId="0" borderId="0" xfId="0" applyFont="1"/>
    <xf numFmtId="0" fontId="7" fillId="0" borderId="24" xfId="0" applyFont="1" applyBorder="1" applyAlignment="1">
      <alignment horizontal="left" vertical="top"/>
    </xf>
    <xf numFmtId="0" fontId="7" fillId="0" borderId="1" xfId="0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left" vertical="top" wrapText="1"/>
    </xf>
    <xf numFmtId="0" fontId="30" fillId="0" borderId="27" xfId="0" applyFont="1" applyBorder="1" applyAlignment="1">
      <alignment horizontal="center" vertical="top"/>
    </xf>
    <xf numFmtId="0" fontId="30" fillId="0" borderId="27" xfId="0" applyFont="1" applyBorder="1" applyAlignment="1">
      <alignment horizontal="left" vertical="top"/>
    </xf>
    <xf numFmtId="0" fontId="32" fillId="0" borderId="24" xfId="0" applyFont="1" applyBorder="1" applyAlignment="1">
      <alignment horizontal="left" vertical="top"/>
    </xf>
    <xf numFmtId="0" fontId="32" fillId="0" borderId="24" xfId="0" applyFont="1" applyBorder="1" applyAlignment="1">
      <alignment horizontal="center" vertical="top"/>
    </xf>
    <xf numFmtId="0" fontId="32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horizontal="center" vertical="top"/>
    </xf>
    <xf numFmtId="0" fontId="32" fillId="0" borderId="19" xfId="0" applyFont="1" applyBorder="1" applyAlignment="1">
      <alignment horizontal="left" vertical="top"/>
    </xf>
    <xf numFmtId="0" fontId="32" fillId="0" borderId="19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1692482</xdr:colOff>
      <xdr:row>0</xdr:row>
      <xdr:rowOff>9526</xdr:rowOff>
    </xdr:from>
    <xdr:to>
      <xdr:col>6</xdr:col>
      <xdr:colOff>895349</xdr:colOff>
      <xdr:row>1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06738B-184D-44A3-A9C3-CBE06C5A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482" y="9526"/>
          <a:ext cx="6918117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9813-F7A2-4E38-AC89-88935459CB93}">
  <dimension ref="A1:K41"/>
  <sheetViews>
    <sheetView topLeftCell="A13" workbookViewId="0">
      <selection activeCell="I10" sqref="I10"/>
    </sheetView>
  </sheetViews>
  <sheetFormatPr defaultRowHeight="15" x14ac:dyDescent="0.25"/>
  <cols>
    <col min="1" max="1" width="32.7109375" customWidth="1"/>
    <col min="2" max="2" width="17" customWidth="1"/>
    <col min="3" max="3" width="15.5703125" customWidth="1"/>
    <col min="4" max="4" width="17.7109375" customWidth="1"/>
    <col min="5" max="5" width="15.28515625" customWidth="1"/>
    <col min="6" max="6" width="17.42578125" customWidth="1"/>
    <col min="7" max="7" width="15.7109375" customWidth="1"/>
    <col min="8" max="8" width="15.140625" customWidth="1"/>
    <col min="9" max="9" width="11.28515625" customWidth="1"/>
    <col min="10" max="10" width="11.85546875" customWidth="1"/>
    <col min="11" max="11" width="11.42578125" customWidth="1"/>
  </cols>
  <sheetData>
    <row r="1" spans="1:11" ht="77.25" customHeight="1" x14ac:dyDescent="0.25">
      <c r="A1" s="207"/>
      <c r="B1" s="207"/>
      <c r="C1" s="207"/>
      <c r="D1" s="207"/>
      <c r="E1" s="207"/>
      <c r="F1" s="207"/>
      <c r="G1" s="207"/>
      <c r="H1" s="207"/>
    </row>
    <row r="3" spans="1:11" ht="18.75" x14ac:dyDescent="0.3">
      <c r="A3" s="208" t="s">
        <v>121</v>
      </c>
      <c r="B3" s="208"/>
      <c r="C3" s="208"/>
      <c r="D3" s="208"/>
      <c r="E3" s="208"/>
      <c r="F3" s="208"/>
      <c r="G3" s="208"/>
      <c r="H3" s="208"/>
    </row>
    <row r="5" spans="1:11" ht="57.75" customHeight="1" x14ac:dyDescent="0.25">
      <c r="A5" s="165" t="s">
        <v>125</v>
      </c>
      <c r="B5" s="165"/>
      <c r="C5" s="165"/>
      <c r="D5" s="166"/>
      <c r="E5" s="210" t="s">
        <v>137</v>
      </c>
      <c r="F5" s="210"/>
      <c r="G5" s="210"/>
      <c r="H5" s="210"/>
    </row>
    <row r="6" spans="1:11" x14ac:dyDescent="0.25">
      <c r="A6" s="119"/>
      <c r="B6" s="119"/>
      <c r="C6" s="119"/>
    </row>
    <row r="7" spans="1:11" x14ac:dyDescent="0.25">
      <c r="A7" s="119"/>
      <c r="B7" s="119"/>
      <c r="C7" s="119"/>
    </row>
    <row r="8" spans="1:11" ht="15.75" x14ac:dyDescent="0.25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</row>
    <row r="9" spans="1:11" ht="45" x14ac:dyDescent="0.25">
      <c r="A9" s="60" t="s">
        <v>54</v>
      </c>
      <c r="B9" s="59" t="s">
        <v>65</v>
      </c>
      <c r="C9" s="59" t="s">
        <v>143</v>
      </c>
      <c r="D9" s="59" t="s">
        <v>138</v>
      </c>
      <c r="E9" s="59" t="s">
        <v>64</v>
      </c>
      <c r="F9" s="59" t="s">
        <v>139</v>
      </c>
      <c r="G9" s="60" t="s">
        <v>1</v>
      </c>
      <c r="H9" s="59" t="s">
        <v>66</v>
      </c>
      <c r="I9" s="176" t="s">
        <v>146</v>
      </c>
      <c r="J9" s="176" t="s">
        <v>147</v>
      </c>
      <c r="K9" s="176" t="s">
        <v>148</v>
      </c>
    </row>
    <row r="10" spans="1:11" ht="44.25" customHeight="1" x14ac:dyDescent="0.25">
      <c r="A10" s="157" t="s">
        <v>122</v>
      </c>
      <c r="B10" s="174">
        <v>2010</v>
      </c>
      <c r="C10" s="174">
        <v>0</v>
      </c>
      <c r="D10" s="172">
        <f>IF(AND($B$10&lt;=1250),ROUND($B$10*Sheet1!$C$2,2),IF(AND($B$10&gt;1250,$B$10&lt;2001),(ROUND(1250*Sheet1!$C$2,2)+ROUND(($B$10-1250)*Sheet1!$C$3,2)),IF(AND(B10&gt;2000,B10&lt;2131),(ROUND(1250*Sheet1!$C$2,2)+ROUND((2000-1250)*Sheet1!$C$3,2)+ROUND((B10-2000)*Sheet1!$C$4,2)),IF(AND(B10&gt;2130),(ROUND(1250*Sheet1!$C$2,2)+ROUND((2000-1250)*Sheet1!$C$3,2)+ROUND((2130-2000)*Sheet1!$C$4,2)+ROUND((B10-2130)*Sheet1!$C$5,2))))))</f>
        <v>25943.31</v>
      </c>
      <c r="E10" s="170">
        <f>B10+D10-C10</f>
        <v>27953.31</v>
      </c>
      <c r="F10" s="170">
        <f>B10*Sheet1!C2</f>
        <v>27876.690000000002</v>
      </c>
      <c r="G10" s="170">
        <f>B10+F10-C10</f>
        <v>29886.690000000002</v>
      </c>
      <c r="H10" s="158">
        <f>G10-E10</f>
        <v>1933.380000000001</v>
      </c>
      <c r="I10" s="75">
        <f>IF(AND($B$10&lt;=1250),ROUND($B$10*Sheet1!$D$2,2),IF(AND($B$10&gt;1250,$B$10&lt;2001),(ROUND(1250*Sheet1!$D$2,2)+ROUND(($B$10-1250)*Sheet1!$D$3,2)),IF(AND(G10&gt;2000,G10&lt;2131),(ROUND(1250*Sheet1!$D$2,2)+ROUND((2000-1250)*Sheet1!$D$3,2)+ROUND((G10-2000)*Sheet1!$D$4,2)),IF(AND(G10&gt;2130),(ROUND(1250*Sheet1!$D$2,2)+ROUND((2000-1250)*Sheet1!$D$3,2)+ROUND((2130-2000)*Sheet1!$D$4,2)+ROUND((G10-2130)*Sheet1!$D$5,2))))))</f>
        <v>121793.73999999999</v>
      </c>
      <c r="J10" s="75"/>
      <c r="K10" s="75"/>
    </row>
    <row r="11" spans="1:11" x14ac:dyDescent="0.25">
      <c r="B11" s="171"/>
      <c r="C11" s="171"/>
      <c r="D11" s="173"/>
      <c r="E11" s="171"/>
      <c r="F11" s="171"/>
      <c r="G11" s="171"/>
      <c r="H11" s="171"/>
    </row>
    <row r="12" spans="1:11" x14ac:dyDescent="0.25">
      <c r="B12" s="171"/>
      <c r="C12" s="171"/>
      <c r="D12" s="173"/>
      <c r="E12" s="171"/>
      <c r="F12" s="171"/>
      <c r="G12" s="171"/>
      <c r="H12" s="171"/>
    </row>
    <row r="13" spans="1:11" ht="30.75" customHeight="1" x14ac:dyDescent="0.25">
      <c r="A13" s="156" t="s">
        <v>123</v>
      </c>
      <c r="B13" s="174">
        <v>0</v>
      </c>
      <c r="C13" s="174">
        <v>0</v>
      </c>
      <c r="D13" s="172">
        <f>IF(AND(B13&lt;=2400),ROUND(B13*'93-98'!$K$3,2),IF(AND(B13&gt;2400,B13&lt;3851),(ROUND(2400*'93-98'!$K$3,2)+ROUND((B13-2400)*'93-98'!$K$4,2)),IF(AND(B13&gt;3850,B13&lt;4101),(ROUND(2400*'93-98'!$K$3,2)+ROUND((3850-2400)*'93-98'!$K$4,2)+ROUND((B13-3850)*'93-98'!$K$5,2)),IF(AND(B13&gt;3850),(ROUND(2400*'93-98'!$K$3,2)+ROUND((3850-2400)*'93-98'!$K$4,2)+ROUND((4100-3850)*'93-98'!$K$5,2)+ROUND((B13-4100)*'93-98'!$K$6,2))))))</f>
        <v>0</v>
      </c>
      <c r="E13" s="170">
        <f>B13+D13-C13</f>
        <v>0</v>
      </c>
      <c r="F13" s="170">
        <f>B13*Sheet1!C6</f>
        <v>0</v>
      </c>
      <c r="G13" s="170">
        <f>B13+F13-C13</f>
        <v>0</v>
      </c>
      <c r="H13" s="158">
        <f>G13-E13</f>
        <v>0</v>
      </c>
      <c r="I13" s="75"/>
      <c r="J13" s="75"/>
      <c r="K13" s="75"/>
    </row>
    <row r="14" spans="1:11" x14ac:dyDescent="0.25">
      <c r="B14" s="171"/>
      <c r="C14" s="171"/>
      <c r="D14" s="173"/>
      <c r="E14" s="171"/>
      <c r="F14" s="171"/>
      <c r="G14" s="171"/>
      <c r="H14" s="171"/>
    </row>
    <row r="15" spans="1:11" x14ac:dyDescent="0.25">
      <c r="B15" s="171"/>
      <c r="C15" s="171"/>
      <c r="D15" s="173"/>
      <c r="E15" s="171"/>
      <c r="F15" s="171"/>
      <c r="G15" s="171"/>
      <c r="H15" s="171"/>
    </row>
    <row r="16" spans="1:11" x14ac:dyDescent="0.25">
      <c r="B16" s="171"/>
      <c r="C16" s="171"/>
      <c r="D16" s="173"/>
      <c r="E16" s="171"/>
      <c r="F16" s="171"/>
      <c r="G16" s="171"/>
      <c r="H16" s="171"/>
    </row>
    <row r="17" spans="1:11" ht="33.75" customHeight="1" x14ac:dyDescent="0.25">
      <c r="A17" s="156" t="s">
        <v>124</v>
      </c>
      <c r="B17" s="174">
        <v>6171</v>
      </c>
      <c r="C17" s="174">
        <v>0</v>
      </c>
      <c r="D17" s="172">
        <f>IF(AND(B17&lt;=3550),ROUND(B17*'98-2002'!$K$3,2),IF(AND(B17&gt;3550,B17&lt;5651),(ROUND(3550*'98-2002'!$K$3,2)+ROUND((B17-3550)*'98-2002'!$K$4,2)),IF(AND(B17&gt;5650,B17&lt;6011),(ROUND(3550*'98-2002'!$K$3,2)+ROUND((5650-3550)*'98-2002'!$K$4,2)+ROUND((B17-5650)*'98-2002'!K5,2)),IF(AND(B17&gt;6010),(ROUND(3550*'98-2002'!$K$3,2)+ROUND((5650-3550)*'98-2002'!$K$4,2)+ROUND((6010-5650)*'98-2002'!$K$5,2)+ROUND((B17-6010)*'98-2002'!$K$6,2))))))</f>
        <v>23834.229999999996</v>
      </c>
      <c r="E17" s="170">
        <f>B17+D17-C17</f>
        <v>30005.229999999996</v>
      </c>
      <c r="F17" s="170">
        <f>B17*Sheet1!C10</f>
        <v>26643.909599999999</v>
      </c>
      <c r="G17" s="170">
        <f>B17+F17-C17</f>
        <v>32814.909599999999</v>
      </c>
      <c r="H17" s="158">
        <f>G17-E17</f>
        <v>2809.6796000000031</v>
      </c>
      <c r="I17" s="75"/>
      <c r="J17" s="75"/>
      <c r="K17" s="75"/>
    </row>
    <row r="20" spans="1:11" ht="27" customHeight="1" x14ac:dyDescent="0.25">
      <c r="A20" s="209" t="s">
        <v>144</v>
      </c>
      <c r="B20" s="209"/>
      <c r="C20" s="209"/>
      <c r="D20" s="209"/>
      <c r="E20" s="209"/>
      <c r="F20" s="209"/>
      <c r="G20" s="209"/>
      <c r="H20" s="209"/>
    </row>
    <row r="22" spans="1:11" ht="15.75" x14ac:dyDescent="0.25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>
        <v>8</v>
      </c>
    </row>
    <row r="23" spans="1:11" ht="45" x14ac:dyDescent="0.25">
      <c r="A23" s="60" t="s">
        <v>54</v>
      </c>
      <c r="B23" s="59" t="s">
        <v>65</v>
      </c>
      <c r="C23" s="59" t="s">
        <v>143</v>
      </c>
      <c r="D23" s="59" t="s">
        <v>130</v>
      </c>
      <c r="E23" s="59" t="s">
        <v>64</v>
      </c>
      <c r="F23" s="59" t="s">
        <v>131</v>
      </c>
      <c r="G23" s="60" t="s">
        <v>1</v>
      </c>
      <c r="H23" s="59" t="s">
        <v>66</v>
      </c>
    </row>
    <row r="25" spans="1:11" ht="31.5" x14ac:dyDescent="0.25">
      <c r="A25" s="156" t="s">
        <v>126</v>
      </c>
      <c r="B25" s="174">
        <v>6171</v>
      </c>
      <c r="C25" s="174">
        <v>0</v>
      </c>
      <c r="D25" s="170">
        <f>B25*'DA Chart-1.8.23'!T19</f>
        <v>17816.911199999999</v>
      </c>
      <c r="E25" s="170">
        <f>B25+D25-C25</f>
        <v>23987.911199999999</v>
      </c>
      <c r="F25" s="170">
        <f>B25*Sheet1!C15</f>
        <v>18305.654399999999</v>
      </c>
      <c r="G25" s="170">
        <f>B25+F25-C25</f>
        <v>24476.654399999999</v>
      </c>
      <c r="H25" s="158">
        <f>G25-E25</f>
        <v>488.7432000000008</v>
      </c>
    </row>
    <row r="26" spans="1:11" x14ac:dyDescent="0.25">
      <c r="B26" s="171"/>
      <c r="C26" s="171"/>
      <c r="D26" s="171"/>
      <c r="E26" s="171"/>
      <c r="F26" s="171"/>
      <c r="G26" s="171"/>
      <c r="H26" s="171"/>
    </row>
    <row r="27" spans="1:11" x14ac:dyDescent="0.25">
      <c r="B27" s="171"/>
      <c r="C27" s="171"/>
      <c r="D27" s="171"/>
      <c r="E27" s="171"/>
      <c r="F27" s="171"/>
      <c r="G27" s="171"/>
      <c r="H27" s="171"/>
    </row>
    <row r="28" spans="1:11" ht="31.5" x14ac:dyDescent="0.25">
      <c r="A28" s="156" t="s">
        <v>127</v>
      </c>
      <c r="B28" s="174">
        <v>0</v>
      </c>
      <c r="C28" s="174">
        <v>0</v>
      </c>
      <c r="D28" s="170">
        <f>B28*'DA Chart-1.8.23'!T22</f>
        <v>0</v>
      </c>
      <c r="E28" s="170">
        <f>B28+D28-C28</f>
        <v>0</v>
      </c>
      <c r="F28" s="170">
        <f>B28*Sheet1!C18</f>
        <v>0</v>
      </c>
      <c r="G28" s="170">
        <f>B28+F28-C28</f>
        <v>0</v>
      </c>
      <c r="H28" s="158">
        <f>G28-E28</f>
        <v>0</v>
      </c>
    </row>
    <row r="29" spans="1:11" x14ac:dyDescent="0.25">
      <c r="B29" s="171"/>
      <c r="C29" s="171"/>
      <c r="D29" s="171"/>
      <c r="E29" s="171"/>
      <c r="F29" s="171"/>
      <c r="G29" s="171"/>
      <c r="H29" s="171"/>
    </row>
    <row r="30" spans="1:11" x14ac:dyDescent="0.25">
      <c r="B30" s="171"/>
      <c r="C30" s="171"/>
      <c r="D30" s="171"/>
      <c r="E30" s="171"/>
      <c r="F30" s="171"/>
      <c r="G30" s="171"/>
      <c r="H30" s="171"/>
    </row>
    <row r="31" spans="1:11" ht="31.5" x14ac:dyDescent="0.25">
      <c r="A31" s="156" t="s">
        <v>128</v>
      </c>
      <c r="B31" s="174">
        <v>0</v>
      </c>
      <c r="C31" s="174">
        <v>0</v>
      </c>
      <c r="D31" s="170">
        <f>B31*'DA Chart-1.8.23'!T25</f>
        <v>0</v>
      </c>
      <c r="E31" s="170">
        <f>B31+D31-C31</f>
        <v>0</v>
      </c>
      <c r="F31" s="170">
        <f>B31*Sheet1!C21</f>
        <v>0</v>
      </c>
      <c r="G31" s="170">
        <f>B31+F31-C31</f>
        <v>0</v>
      </c>
      <c r="H31" s="158">
        <f>G31-E31</f>
        <v>0</v>
      </c>
    </row>
    <row r="32" spans="1:11" x14ac:dyDescent="0.25">
      <c r="B32" s="171"/>
      <c r="C32" s="171"/>
      <c r="D32" s="171"/>
      <c r="E32" s="171"/>
      <c r="F32" s="171"/>
      <c r="G32" s="171"/>
      <c r="H32" s="171"/>
    </row>
    <row r="33" spans="1:8" ht="31.5" x14ac:dyDescent="0.25">
      <c r="A33" s="156" t="s">
        <v>129</v>
      </c>
      <c r="B33" s="174">
        <v>39510</v>
      </c>
      <c r="C33" s="174">
        <v>12800</v>
      </c>
      <c r="D33" s="170">
        <f>B33*'DA Chart-1.8.23'!T28</f>
        <v>16262.316000000001</v>
      </c>
      <c r="E33" s="170">
        <f>B33+D33-C33</f>
        <v>42972.315999999999</v>
      </c>
      <c r="F33" s="170">
        <f>B33*Sheet1!C24</f>
        <v>17479.224000000002</v>
      </c>
      <c r="G33" s="170">
        <f>B33+F33-C33</f>
        <v>44189.224000000002</v>
      </c>
      <c r="H33" s="158">
        <f>G33-E33</f>
        <v>1216.9080000000031</v>
      </c>
    </row>
    <row r="35" spans="1:8" ht="33" customHeight="1" x14ac:dyDescent="0.25">
      <c r="A35" s="211" t="s">
        <v>142</v>
      </c>
      <c r="B35" s="211"/>
      <c r="C35" s="211"/>
      <c r="D35" s="211"/>
      <c r="E35" s="211"/>
      <c r="F35" s="211"/>
      <c r="G35" s="211"/>
      <c r="H35" s="211"/>
    </row>
    <row r="37" spans="1:8" x14ac:dyDescent="0.25">
      <c r="A37" s="119" t="s">
        <v>141</v>
      </c>
    </row>
    <row r="39" spans="1:8" x14ac:dyDescent="0.25">
      <c r="A39" t="s">
        <v>140</v>
      </c>
    </row>
    <row r="40" spans="1:8" s="175" customFormat="1" x14ac:dyDescent="0.25"/>
    <row r="41" spans="1:8" s="175" customFormat="1" x14ac:dyDescent="0.25"/>
  </sheetData>
  <sheetProtection selectLockedCells="1"/>
  <mergeCells count="5">
    <mergeCell ref="A1:H1"/>
    <mergeCell ref="A3:H3"/>
    <mergeCell ref="A20:H20"/>
    <mergeCell ref="E5:H5"/>
    <mergeCell ref="A35:H35"/>
  </mergeCells>
  <pageMargins left="0.23622047244094491" right="0.23622047244094491" top="0.74803149606299213" bottom="0.74803149606299213" header="0.31496062992125984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9051-50CC-4A08-B792-4633E3079852}">
  <dimension ref="A1:Q30"/>
  <sheetViews>
    <sheetView topLeftCell="A4" workbookViewId="0">
      <selection activeCell="A13" sqref="A13:G13"/>
    </sheetView>
  </sheetViews>
  <sheetFormatPr defaultRowHeight="15" x14ac:dyDescent="0.25"/>
  <cols>
    <col min="1" max="1" width="24.85546875" customWidth="1"/>
    <col min="2" max="2" width="16.140625" customWidth="1"/>
    <col min="3" max="3" width="14.42578125" customWidth="1"/>
    <col min="4" max="4" width="13.85546875" customWidth="1"/>
    <col min="5" max="5" width="16.28515625" customWidth="1"/>
    <col min="6" max="6" width="12.5703125" customWidth="1"/>
    <col min="7" max="7" width="15.140625" customWidth="1"/>
    <col min="11" max="11" width="9.140625" style="149"/>
    <col min="12" max="12" width="15.5703125" style="151" customWidth="1"/>
    <col min="13" max="13" width="12.5703125" customWidth="1"/>
    <col min="14" max="14" width="15.85546875" customWidth="1"/>
    <col min="15" max="15" width="10.42578125" customWidth="1"/>
  </cols>
  <sheetData>
    <row r="1" spans="1:17" ht="48.75" customHeight="1" x14ac:dyDescent="0.25">
      <c r="A1" s="243" t="s">
        <v>98</v>
      </c>
      <c r="B1" s="243"/>
      <c r="C1" s="243"/>
      <c r="D1" s="243"/>
      <c r="E1" s="243"/>
      <c r="F1" s="243"/>
      <c r="G1" s="243"/>
      <c r="H1" s="243"/>
      <c r="P1" s="1" t="s">
        <v>13</v>
      </c>
    </row>
    <row r="2" spans="1:17" ht="69" customHeight="1" x14ac:dyDescent="0.25">
      <c r="A2" s="134" t="s">
        <v>99</v>
      </c>
      <c r="B2" s="142" t="s">
        <v>100</v>
      </c>
      <c r="C2" s="134" t="s">
        <v>101</v>
      </c>
      <c r="D2" s="134" t="s">
        <v>102</v>
      </c>
      <c r="E2" s="134" t="s">
        <v>103</v>
      </c>
      <c r="F2" s="134" t="s">
        <v>104</v>
      </c>
      <c r="G2" s="134" t="s">
        <v>105</v>
      </c>
      <c r="H2" s="135"/>
      <c r="J2" s="242" t="s">
        <v>115</v>
      </c>
      <c r="K2" s="242"/>
      <c r="L2" s="242"/>
      <c r="M2" s="242"/>
      <c r="N2" s="242"/>
      <c r="O2" s="242"/>
      <c r="P2" s="242"/>
    </row>
    <row r="3" spans="1:17" x14ac:dyDescent="0.25">
      <c r="A3" s="244" t="s">
        <v>106</v>
      </c>
      <c r="B3" s="244"/>
      <c r="C3" s="244"/>
      <c r="D3" s="244"/>
      <c r="E3" s="244"/>
      <c r="F3" s="244"/>
      <c r="G3" s="244"/>
      <c r="H3" s="135"/>
      <c r="J3" s="144" t="s">
        <v>114</v>
      </c>
      <c r="K3" s="147" t="s">
        <v>110</v>
      </c>
      <c r="L3" s="150" t="s">
        <v>113</v>
      </c>
      <c r="M3" s="144" t="s">
        <v>1</v>
      </c>
      <c r="N3" s="144" t="s">
        <v>12</v>
      </c>
      <c r="O3" s="144" t="s">
        <v>1</v>
      </c>
      <c r="P3" s="144" t="s">
        <v>0</v>
      </c>
    </row>
    <row r="4" spans="1:17" ht="15" customHeight="1" x14ac:dyDescent="0.25">
      <c r="A4" s="136" t="s">
        <v>67</v>
      </c>
      <c r="B4" s="137" t="s">
        <v>68</v>
      </c>
      <c r="C4" s="136" t="s">
        <v>69</v>
      </c>
      <c r="D4" s="137">
        <v>8.3800000000000008</v>
      </c>
      <c r="E4" s="137">
        <v>8.3800000000000008</v>
      </c>
      <c r="F4" s="137">
        <v>0</v>
      </c>
      <c r="G4" s="137" t="s">
        <v>70</v>
      </c>
      <c r="H4" s="135" t="s">
        <v>13</v>
      </c>
      <c r="J4" s="1" t="s">
        <v>2</v>
      </c>
      <c r="K4" s="148">
        <v>1430</v>
      </c>
      <c r="L4" s="150">
        <v>18973.490000000002</v>
      </c>
      <c r="M4" s="143">
        <v>20403.490000000002</v>
      </c>
      <c r="N4" s="143">
        <v>19411.11</v>
      </c>
      <c r="O4" s="143">
        <v>20841.11</v>
      </c>
      <c r="P4" s="2">
        <v>437.62</v>
      </c>
    </row>
    <row r="5" spans="1:17" x14ac:dyDescent="0.25">
      <c r="A5" s="138" t="s">
        <v>71</v>
      </c>
      <c r="B5" s="139" t="s">
        <v>72</v>
      </c>
      <c r="C5" s="138" t="s">
        <v>73</v>
      </c>
      <c r="D5" s="139">
        <v>13.4</v>
      </c>
      <c r="E5" s="139">
        <v>12.51</v>
      </c>
      <c r="F5" s="139">
        <v>0.89</v>
      </c>
      <c r="G5" s="138">
        <v>1803.14</v>
      </c>
      <c r="H5" s="135" t="s">
        <v>13</v>
      </c>
      <c r="J5" s="1" t="s">
        <v>3</v>
      </c>
      <c r="K5" s="148">
        <v>2010</v>
      </c>
      <c r="L5" s="150">
        <v>25391.86</v>
      </c>
      <c r="M5" s="143">
        <v>27401.86</v>
      </c>
      <c r="N5" s="143">
        <v>27284.14</v>
      </c>
      <c r="O5" s="143">
        <v>29294.14</v>
      </c>
      <c r="P5" s="2">
        <v>1892.28</v>
      </c>
    </row>
    <row r="6" spans="1:17" x14ac:dyDescent="0.25">
      <c r="A6" s="138" t="s">
        <v>74</v>
      </c>
      <c r="B6" s="139" t="s">
        <v>75</v>
      </c>
      <c r="C6" s="138" t="s">
        <v>76</v>
      </c>
      <c r="D6" s="139">
        <v>14.27</v>
      </c>
      <c r="E6" s="139">
        <v>12.94</v>
      </c>
      <c r="F6" s="139">
        <v>1.33</v>
      </c>
      <c r="G6" s="138">
        <v>2694.58</v>
      </c>
      <c r="H6" s="135"/>
      <c r="J6" s="1" t="s">
        <v>4</v>
      </c>
      <c r="K6" s="148">
        <v>2195</v>
      </c>
      <c r="L6" s="150">
        <v>25759.58</v>
      </c>
      <c r="M6" s="143">
        <v>27954.58</v>
      </c>
      <c r="N6" s="143">
        <v>29795.37</v>
      </c>
      <c r="O6" s="143">
        <v>31990.37</v>
      </c>
      <c r="P6" s="2">
        <v>4035.79</v>
      </c>
    </row>
    <row r="7" spans="1:17" x14ac:dyDescent="0.25">
      <c r="A7" s="140" t="s">
        <v>77</v>
      </c>
      <c r="B7" s="141" t="s">
        <v>78</v>
      </c>
      <c r="C7" s="140" t="s">
        <v>79</v>
      </c>
      <c r="D7" s="141">
        <v>16.75</v>
      </c>
      <c r="E7" s="141">
        <v>13.57</v>
      </c>
      <c r="F7" s="141">
        <v>3.18</v>
      </c>
      <c r="G7" s="140">
        <v>6442.68</v>
      </c>
      <c r="H7" s="135"/>
      <c r="J7" s="1" t="s">
        <v>5</v>
      </c>
      <c r="K7" s="148">
        <v>2455</v>
      </c>
      <c r="L7" s="150">
        <v>27313.52</v>
      </c>
      <c r="M7" s="143">
        <v>29768.52</v>
      </c>
      <c r="N7" s="143">
        <v>33324.660000000003</v>
      </c>
      <c r="O7" s="143">
        <v>35779.660000000003</v>
      </c>
      <c r="P7" s="2">
        <v>6011.15</v>
      </c>
    </row>
    <row r="8" spans="1:17" x14ac:dyDescent="0.25">
      <c r="A8" s="244" t="s">
        <v>107</v>
      </c>
      <c r="B8" s="244"/>
      <c r="C8" s="244"/>
      <c r="D8" s="244"/>
      <c r="E8" s="244"/>
      <c r="F8" s="244"/>
      <c r="G8" s="244"/>
      <c r="H8" s="135"/>
      <c r="J8" s="1" t="s">
        <v>6</v>
      </c>
      <c r="K8" s="148">
        <v>2675</v>
      </c>
      <c r="L8" s="150">
        <v>28071.24</v>
      </c>
      <c r="M8" s="143">
        <v>30746.240000000002</v>
      </c>
      <c r="N8" s="143">
        <v>36310.99</v>
      </c>
      <c r="O8" s="143">
        <v>38985.99</v>
      </c>
      <c r="P8" s="2">
        <v>8239.75</v>
      </c>
    </row>
    <row r="9" spans="1:17" x14ac:dyDescent="0.25">
      <c r="A9" s="136" t="s">
        <v>80</v>
      </c>
      <c r="B9" s="137" t="s">
        <v>68</v>
      </c>
      <c r="C9" s="136" t="s">
        <v>81</v>
      </c>
      <c r="D9" s="137">
        <v>8.4</v>
      </c>
      <c r="E9" s="137">
        <v>8.4</v>
      </c>
      <c r="F9" s="137">
        <v>0</v>
      </c>
      <c r="G9" s="137" t="s">
        <v>70</v>
      </c>
      <c r="H9" s="135"/>
      <c r="J9" s="1" t="s">
        <v>7</v>
      </c>
      <c r="K9" s="148">
        <v>2975</v>
      </c>
      <c r="L9" s="150">
        <v>29104.5</v>
      </c>
      <c r="M9" s="143">
        <v>32079.5</v>
      </c>
      <c r="N9" s="143">
        <v>40383.25</v>
      </c>
      <c r="O9" s="143">
        <v>43358.25</v>
      </c>
      <c r="P9" s="2">
        <v>11278.75</v>
      </c>
    </row>
    <row r="10" spans="1:17" x14ac:dyDescent="0.25">
      <c r="A10" s="138" t="s">
        <v>82</v>
      </c>
      <c r="B10" s="139" t="s">
        <v>83</v>
      </c>
      <c r="C10" s="138" t="s">
        <v>84</v>
      </c>
      <c r="D10" s="139">
        <v>13.48</v>
      </c>
      <c r="E10" s="139">
        <v>12.61</v>
      </c>
      <c r="F10" s="139">
        <v>0.87</v>
      </c>
      <c r="G10" s="138">
        <v>1643.43</v>
      </c>
      <c r="H10" s="135"/>
      <c r="J10" s="1" t="s">
        <v>8</v>
      </c>
      <c r="K10" s="148">
        <v>3275</v>
      </c>
      <c r="L10" s="150">
        <v>30137.759999999998</v>
      </c>
      <c r="M10" s="143">
        <v>33412.76</v>
      </c>
      <c r="N10" s="143">
        <v>44455.51</v>
      </c>
      <c r="O10" s="143">
        <v>47730.51</v>
      </c>
      <c r="P10" s="2">
        <v>14317.75</v>
      </c>
    </row>
    <row r="11" spans="1:17" x14ac:dyDescent="0.25">
      <c r="A11" s="138" t="s">
        <v>85</v>
      </c>
      <c r="B11" s="139" t="s">
        <v>75</v>
      </c>
      <c r="C11" s="138" t="s">
        <v>79</v>
      </c>
      <c r="D11" s="139">
        <v>14.35</v>
      </c>
      <c r="E11" s="139">
        <v>13.04</v>
      </c>
      <c r="F11" s="139">
        <v>1.31</v>
      </c>
      <c r="G11" s="138">
        <v>2474.59</v>
      </c>
      <c r="H11" s="135"/>
      <c r="J11" s="1" t="s">
        <v>9</v>
      </c>
      <c r="K11" s="148">
        <v>3500</v>
      </c>
      <c r="L11" s="150">
        <v>30912.7</v>
      </c>
      <c r="M11" s="143">
        <v>34412.699999999997</v>
      </c>
      <c r="N11" s="143">
        <v>47509.7</v>
      </c>
      <c r="O11" s="143">
        <v>51009.7</v>
      </c>
      <c r="P11" s="2">
        <v>16597</v>
      </c>
    </row>
    <row r="12" spans="1:17" ht="15" customHeight="1" x14ac:dyDescent="0.25">
      <c r="A12" s="140" t="s">
        <v>86</v>
      </c>
      <c r="B12" s="141" t="s">
        <v>87</v>
      </c>
      <c r="C12" s="140" t="s">
        <v>88</v>
      </c>
      <c r="D12" s="141">
        <v>19.25</v>
      </c>
      <c r="E12" s="141">
        <v>14.3</v>
      </c>
      <c r="F12" s="141">
        <v>4.95</v>
      </c>
      <c r="G12" s="140">
        <v>9350.5499999999993</v>
      </c>
      <c r="H12" s="135"/>
      <c r="J12" s="241" t="s">
        <v>111</v>
      </c>
      <c r="K12" s="241"/>
      <c r="L12" s="241"/>
      <c r="M12" s="241"/>
      <c r="N12" s="241"/>
      <c r="O12" s="241"/>
      <c r="P12" s="241"/>
      <c r="Q12" s="241"/>
    </row>
    <row r="13" spans="1:17" x14ac:dyDescent="0.25">
      <c r="A13" s="244" t="s">
        <v>108</v>
      </c>
      <c r="B13" s="244"/>
      <c r="C13" s="244"/>
      <c r="D13" s="244"/>
      <c r="E13" s="244"/>
      <c r="F13" s="244"/>
      <c r="G13" s="244"/>
      <c r="H13" s="135"/>
      <c r="J13" s="2" t="s">
        <v>2</v>
      </c>
      <c r="K13" s="148">
        <v>2820</v>
      </c>
      <c r="L13" s="150">
        <v>18168.400000000001</v>
      </c>
      <c r="M13" s="143">
        <v>20988.400000000001</v>
      </c>
      <c r="N13" s="143">
        <v>18644.43</v>
      </c>
      <c r="O13" s="145">
        <v>21464.43</v>
      </c>
      <c r="P13" s="2">
        <v>476.03</v>
      </c>
    </row>
    <row r="14" spans="1:17" x14ac:dyDescent="0.25">
      <c r="A14" s="136" t="s">
        <v>89</v>
      </c>
      <c r="B14" s="137" t="s">
        <v>68</v>
      </c>
      <c r="C14" s="136" t="s">
        <v>90</v>
      </c>
      <c r="D14" s="137">
        <v>8.52</v>
      </c>
      <c r="E14" s="137">
        <v>8.52</v>
      </c>
      <c r="F14" s="137">
        <v>0</v>
      </c>
      <c r="G14" s="137" t="s">
        <v>70</v>
      </c>
      <c r="H14" s="135"/>
      <c r="J14" s="2" t="s">
        <v>3</v>
      </c>
      <c r="K14" s="148">
        <v>4025</v>
      </c>
      <c r="L14" s="150">
        <v>24372.82</v>
      </c>
      <c r="M14" s="143">
        <v>28397.82</v>
      </c>
      <c r="N14" s="143">
        <v>26611.29</v>
      </c>
      <c r="O14" s="145">
        <v>30636.29</v>
      </c>
      <c r="P14" s="2">
        <v>2238.4699999999998</v>
      </c>
    </row>
    <row r="15" spans="1:17" ht="24.75" customHeight="1" x14ac:dyDescent="0.25">
      <c r="A15" s="138" t="s">
        <v>91</v>
      </c>
      <c r="B15" s="139" t="s">
        <v>83</v>
      </c>
      <c r="C15" s="138" t="s">
        <v>92</v>
      </c>
      <c r="D15" s="139">
        <v>13.56</v>
      </c>
      <c r="E15" s="139">
        <v>12.72</v>
      </c>
      <c r="F15" s="139">
        <v>0.84</v>
      </c>
      <c r="G15" s="138">
        <v>1474.2</v>
      </c>
      <c r="H15" s="135"/>
      <c r="J15" s="2" t="s">
        <v>4</v>
      </c>
      <c r="K15" s="148">
        <v>4370</v>
      </c>
      <c r="L15" s="150">
        <v>25072.69</v>
      </c>
      <c r="M15" s="143">
        <v>29442.69</v>
      </c>
      <c r="N15" s="143">
        <v>28892.26</v>
      </c>
      <c r="O15" s="145">
        <v>33262.26</v>
      </c>
      <c r="P15" s="2">
        <v>3819.57</v>
      </c>
    </row>
    <row r="16" spans="1:17" x14ac:dyDescent="0.25">
      <c r="A16" s="138" t="s">
        <v>93</v>
      </c>
      <c r="B16" s="139" t="s">
        <v>94</v>
      </c>
      <c r="C16" s="138" t="s">
        <v>95</v>
      </c>
      <c r="D16" s="139">
        <v>14.42</v>
      </c>
      <c r="E16" s="139">
        <v>13.15</v>
      </c>
      <c r="F16" s="139">
        <v>1.27</v>
      </c>
      <c r="G16" s="138">
        <v>2228.85</v>
      </c>
      <c r="H16" s="135"/>
      <c r="J16" s="2" t="s">
        <v>5</v>
      </c>
      <c r="K16" s="148">
        <v>4850</v>
      </c>
      <c r="L16" s="150">
        <v>25888.74</v>
      </c>
      <c r="M16" s="143">
        <v>30738.74</v>
      </c>
      <c r="N16" s="143">
        <v>32065.78</v>
      </c>
      <c r="O16" s="145">
        <v>36915.78</v>
      </c>
      <c r="P16" s="2">
        <v>6177.04</v>
      </c>
    </row>
    <row r="17" spans="1:17" x14ac:dyDescent="0.25">
      <c r="A17" s="140" t="s">
        <v>96</v>
      </c>
      <c r="B17" s="141" t="s">
        <v>78</v>
      </c>
      <c r="C17" s="140" t="s">
        <v>97</v>
      </c>
      <c r="D17" s="141">
        <v>24</v>
      </c>
      <c r="E17" s="141">
        <v>15.54</v>
      </c>
      <c r="F17" s="141">
        <v>8.4600000000000009</v>
      </c>
      <c r="G17" s="140">
        <v>14847.3</v>
      </c>
      <c r="H17" s="135"/>
      <c r="J17" s="2" t="s">
        <v>6</v>
      </c>
      <c r="K17" s="148">
        <v>5225</v>
      </c>
      <c r="L17" s="150">
        <v>26526.27</v>
      </c>
      <c r="M17" s="143">
        <v>31751.27</v>
      </c>
      <c r="N17" s="143">
        <v>34545.089999999997</v>
      </c>
      <c r="O17" s="145">
        <v>39770.089999999997</v>
      </c>
      <c r="P17" s="2">
        <v>8018.82</v>
      </c>
    </row>
    <row r="18" spans="1:17" x14ac:dyDescent="0.25">
      <c r="A18" s="245" t="s">
        <v>109</v>
      </c>
      <c r="B18" s="245"/>
      <c r="C18" s="245"/>
      <c r="D18" s="245"/>
      <c r="E18" s="245"/>
      <c r="F18" s="245"/>
      <c r="G18" s="245"/>
      <c r="H18" s="245"/>
      <c r="J18" s="2" t="s">
        <v>7</v>
      </c>
      <c r="K18" s="148">
        <v>5725</v>
      </c>
      <c r="L18" s="150">
        <v>27376.32</v>
      </c>
      <c r="M18" s="143">
        <v>33101.32</v>
      </c>
      <c r="N18" s="143">
        <v>37850.839999999997</v>
      </c>
      <c r="O18" s="145">
        <v>43575.839999999997</v>
      </c>
      <c r="P18" s="2">
        <v>10474.52</v>
      </c>
    </row>
    <row r="19" spans="1:17" x14ac:dyDescent="0.25">
      <c r="A19" s="135"/>
      <c r="B19" s="135"/>
      <c r="C19" s="135"/>
      <c r="D19" s="135"/>
      <c r="E19" s="135"/>
      <c r="F19" s="135"/>
      <c r="G19" s="135"/>
      <c r="H19" s="135"/>
      <c r="J19" s="2" t="s">
        <v>8</v>
      </c>
      <c r="K19" s="148">
        <v>6325</v>
      </c>
      <c r="L19" s="150">
        <v>28396.38</v>
      </c>
      <c r="M19" s="143">
        <v>34721.379999999997</v>
      </c>
      <c r="N19" s="143">
        <v>41817.74</v>
      </c>
      <c r="O19" s="145">
        <v>48142.74</v>
      </c>
      <c r="P19" s="2">
        <v>13421.36</v>
      </c>
    </row>
    <row r="20" spans="1:17" x14ac:dyDescent="0.25">
      <c r="J20" s="2" t="s">
        <v>9</v>
      </c>
      <c r="K20" s="148">
        <v>7000</v>
      </c>
      <c r="L20" s="150">
        <v>29543.95</v>
      </c>
      <c r="M20" s="143">
        <v>36543.949999999997</v>
      </c>
      <c r="N20" s="143">
        <v>46280.5</v>
      </c>
      <c r="O20" s="145">
        <v>53280.5</v>
      </c>
      <c r="P20" s="2">
        <v>16736.55</v>
      </c>
    </row>
    <row r="21" spans="1:17" x14ac:dyDescent="0.25">
      <c r="J21" s="241" t="s">
        <v>112</v>
      </c>
      <c r="K21" s="241"/>
      <c r="L21" s="241"/>
      <c r="M21" s="241"/>
      <c r="N21" s="241"/>
      <c r="O21" s="241"/>
      <c r="P21" s="241"/>
      <c r="Q21" s="241"/>
    </row>
    <row r="22" spans="1:17" x14ac:dyDescent="0.25">
      <c r="J22" s="146" t="s">
        <v>2</v>
      </c>
      <c r="K22" s="148">
        <v>4490</v>
      </c>
      <c r="L22" s="150">
        <v>18252</v>
      </c>
      <c r="M22" s="143">
        <v>22742</v>
      </c>
      <c r="N22" s="143">
        <v>18911.88</v>
      </c>
      <c r="O22" s="145">
        <v>23401.88</v>
      </c>
      <c r="P22" s="2">
        <v>659.88</v>
      </c>
    </row>
    <row r="23" spans="1:17" x14ac:dyDescent="0.25">
      <c r="J23" s="146" t="s">
        <v>3</v>
      </c>
      <c r="K23" s="148">
        <v>6270</v>
      </c>
      <c r="L23" s="150">
        <v>23355.54</v>
      </c>
      <c r="M23" s="143">
        <v>29625.54</v>
      </c>
      <c r="N23" s="143">
        <v>26409.24</v>
      </c>
      <c r="O23" s="145">
        <v>32679.24</v>
      </c>
      <c r="P23" s="2">
        <v>3053.7</v>
      </c>
    </row>
    <row r="24" spans="1:17" x14ac:dyDescent="0.25">
      <c r="J24" s="146" t="s">
        <v>4</v>
      </c>
      <c r="K24" s="148">
        <v>6780</v>
      </c>
      <c r="L24" s="150">
        <v>23892.57</v>
      </c>
      <c r="M24" s="143">
        <v>30672.57</v>
      </c>
      <c r="N24" s="143">
        <v>28557.360000000001</v>
      </c>
      <c r="O24" s="145">
        <v>35337.360000000001</v>
      </c>
      <c r="P24" s="2">
        <v>4664.79</v>
      </c>
    </row>
    <row r="25" spans="1:17" x14ac:dyDescent="0.25">
      <c r="J25" s="146" t="s">
        <v>5</v>
      </c>
      <c r="K25" s="148">
        <v>7500</v>
      </c>
      <c r="L25" s="150">
        <v>24650.73</v>
      </c>
      <c r="M25" s="143">
        <v>32150.73</v>
      </c>
      <c r="N25" s="143">
        <v>31590</v>
      </c>
      <c r="O25" s="145">
        <v>39090</v>
      </c>
      <c r="P25" s="2">
        <v>6939.27</v>
      </c>
    </row>
    <row r="26" spans="1:17" x14ac:dyDescent="0.25">
      <c r="J26" s="146" t="s">
        <v>6</v>
      </c>
      <c r="K26" s="148">
        <v>8070</v>
      </c>
      <c r="L26" s="150">
        <v>25250.94</v>
      </c>
      <c r="M26" s="143">
        <v>33320.94</v>
      </c>
      <c r="N26" s="143">
        <v>33990.839999999997</v>
      </c>
      <c r="O26" s="145">
        <v>42060.84</v>
      </c>
      <c r="P26" s="2">
        <v>8739.9</v>
      </c>
    </row>
    <row r="27" spans="1:17" x14ac:dyDescent="0.25">
      <c r="J27" s="146" t="s">
        <v>7</v>
      </c>
      <c r="K27" s="148">
        <v>8830</v>
      </c>
      <c r="L27" s="150">
        <v>26051.22</v>
      </c>
      <c r="M27" s="143">
        <v>34881.22</v>
      </c>
      <c r="N27" s="143">
        <v>37191.96</v>
      </c>
      <c r="O27" s="145">
        <v>46021.96</v>
      </c>
      <c r="P27" s="2">
        <v>11140.74</v>
      </c>
    </row>
    <row r="28" spans="1:17" x14ac:dyDescent="0.25">
      <c r="J28" s="146" t="s">
        <v>8</v>
      </c>
      <c r="K28" s="148">
        <v>9670</v>
      </c>
      <c r="L28" s="150">
        <v>26935.74</v>
      </c>
      <c r="M28" s="143">
        <v>36605.74</v>
      </c>
      <c r="N28" s="143">
        <v>40730.04</v>
      </c>
      <c r="O28" s="145">
        <v>50400.04</v>
      </c>
      <c r="P28" s="2">
        <v>13794.3</v>
      </c>
    </row>
    <row r="29" spans="1:17" x14ac:dyDescent="0.25">
      <c r="J29" s="146" t="s">
        <v>9</v>
      </c>
      <c r="K29" s="148">
        <v>10650</v>
      </c>
      <c r="L29" s="150">
        <v>27967.68</v>
      </c>
      <c r="M29" s="143">
        <v>38617.68</v>
      </c>
      <c r="N29" s="143">
        <v>44857.8</v>
      </c>
      <c r="O29" s="145">
        <v>55507.8</v>
      </c>
      <c r="P29" s="2">
        <v>16890.12</v>
      </c>
    </row>
    <row r="30" spans="1:17" ht="15.75" x14ac:dyDescent="0.25">
      <c r="J30" s="240"/>
      <c r="K30" s="240"/>
      <c r="L30" s="240"/>
      <c r="M30" s="240"/>
      <c r="N30" s="240"/>
      <c r="O30" s="240"/>
      <c r="P30" s="240"/>
      <c r="Q30" s="240"/>
    </row>
  </sheetData>
  <mergeCells count="9">
    <mergeCell ref="J30:Q30"/>
    <mergeCell ref="J21:Q21"/>
    <mergeCell ref="J12:Q12"/>
    <mergeCell ref="J2:P2"/>
    <mergeCell ref="A1:H1"/>
    <mergeCell ref="A3:G3"/>
    <mergeCell ref="A8:G8"/>
    <mergeCell ref="A13:G13"/>
    <mergeCell ref="A18:H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3053-BB3C-454A-B2D9-49E65D0BA60D}">
  <sheetPr>
    <pageSetUpPr fitToPage="1"/>
  </sheetPr>
  <dimension ref="A1:V32"/>
  <sheetViews>
    <sheetView topLeftCell="A16" workbookViewId="0">
      <selection activeCell="G15" sqref="G15"/>
    </sheetView>
  </sheetViews>
  <sheetFormatPr defaultRowHeight="15" x14ac:dyDescent="0.25"/>
  <cols>
    <col min="1" max="1" width="13.28515625" style="4" customWidth="1"/>
    <col min="2" max="2" width="9.140625" style="4"/>
    <col min="3" max="3" width="3.7109375" style="4" customWidth="1"/>
    <col min="4" max="4" width="18.5703125" style="4" customWidth="1"/>
    <col min="5" max="5" width="9" style="4" bestFit="1" customWidth="1"/>
    <col min="6" max="6" width="16.42578125" style="4" customWidth="1"/>
    <col min="7" max="7" width="8.42578125" style="4" bestFit="1" customWidth="1"/>
    <col min="8" max="8" width="13.5703125" style="4" customWidth="1"/>
    <col min="9" max="9" width="2" style="4" customWidth="1"/>
    <col min="10" max="10" width="22.5703125" style="4" customWidth="1"/>
    <col min="11" max="11" width="8.140625" customWidth="1"/>
    <col min="12" max="12" width="9.140625" hidden="1" customWidth="1"/>
    <col min="13" max="13" width="13.28515625" style="4" customWidth="1"/>
    <col min="14" max="14" width="9.140625" style="4"/>
    <col min="15" max="15" width="3.7109375" style="4" customWidth="1"/>
    <col min="16" max="16" width="25.85546875" style="4" bestFit="1" customWidth="1"/>
    <col min="17" max="17" width="9" style="4" bestFit="1" customWidth="1"/>
    <col min="18" max="18" width="21.140625" style="4" customWidth="1"/>
    <col min="19" max="19" width="8.42578125" style="4" bestFit="1" customWidth="1"/>
    <col min="20" max="20" width="13.5703125" style="4" customWidth="1"/>
    <col min="21" max="21" width="2" style="4" customWidth="1"/>
    <col min="22" max="22" width="22.5703125" style="4" customWidth="1"/>
  </cols>
  <sheetData>
    <row r="1" spans="1:22" ht="19.5" thickBot="1" x14ac:dyDescent="0.35">
      <c r="A1" s="304" t="s">
        <v>15</v>
      </c>
      <c r="B1" s="305"/>
      <c r="C1" s="305"/>
      <c r="D1" s="305"/>
      <c r="E1" s="305"/>
      <c r="F1" s="305"/>
      <c r="G1" s="305"/>
      <c r="H1" s="305"/>
      <c r="I1" s="305"/>
      <c r="J1" s="306"/>
      <c r="M1" s="304" t="s">
        <v>132</v>
      </c>
      <c r="N1" s="305"/>
      <c r="O1" s="305"/>
      <c r="P1" s="305"/>
      <c r="Q1" s="305"/>
      <c r="R1" s="305"/>
      <c r="S1" s="305"/>
      <c r="T1" s="305"/>
      <c r="U1" s="305"/>
      <c r="V1" s="306"/>
    </row>
    <row r="3" spans="1:22" ht="15.75" x14ac:dyDescent="0.25">
      <c r="A3" s="340" t="s">
        <v>16</v>
      </c>
      <c r="B3" s="340"/>
      <c r="C3" s="340"/>
      <c r="D3" s="340" t="s">
        <v>10</v>
      </c>
      <c r="E3" s="6"/>
      <c r="F3" s="315" t="s">
        <v>17</v>
      </c>
      <c r="G3" s="317" t="s">
        <v>18</v>
      </c>
      <c r="H3" s="343" t="s">
        <v>19</v>
      </c>
      <c r="I3" s="343"/>
      <c r="J3" s="343"/>
      <c r="M3" s="307" t="s">
        <v>16</v>
      </c>
      <c r="N3" s="308"/>
      <c r="O3" s="309"/>
      <c r="P3" s="313" t="s">
        <v>10</v>
      </c>
      <c r="Q3" s="6"/>
      <c r="R3" s="315" t="s">
        <v>145</v>
      </c>
      <c r="S3" s="317" t="s">
        <v>18</v>
      </c>
      <c r="T3" s="319" t="s">
        <v>19</v>
      </c>
      <c r="U3" s="320"/>
      <c r="V3" s="321"/>
    </row>
    <row r="4" spans="1:22" ht="45" x14ac:dyDescent="0.25">
      <c r="A4" s="313"/>
      <c r="B4" s="313"/>
      <c r="C4" s="313"/>
      <c r="D4" s="340"/>
      <c r="E4" s="7" t="s">
        <v>20</v>
      </c>
      <c r="F4" s="341"/>
      <c r="G4" s="342"/>
      <c r="H4" s="8" t="s">
        <v>21</v>
      </c>
      <c r="I4" s="9" t="s">
        <v>22</v>
      </c>
      <c r="J4" s="10" t="s">
        <v>23</v>
      </c>
      <c r="M4" s="310"/>
      <c r="N4" s="311"/>
      <c r="O4" s="312"/>
      <c r="P4" s="314"/>
      <c r="Q4" s="7" t="s">
        <v>20</v>
      </c>
      <c r="R4" s="316"/>
      <c r="S4" s="318"/>
      <c r="T4" s="8" t="s">
        <v>21</v>
      </c>
      <c r="U4" s="9" t="s">
        <v>22</v>
      </c>
      <c r="V4" s="10" t="s">
        <v>23</v>
      </c>
    </row>
    <row r="5" spans="1:22" s="127" customFormat="1" x14ac:dyDescent="0.25">
      <c r="A5" s="313">
        <v>1</v>
      </c>
      <c r="B5" s="313"/>
      <c r="C5" s="313"/>
      <c r="D5" s="5">
        <v>2</v>
      </c>
      <c r="E5" s="5"/>
      <c r="F5" s="5">
        <v>3</v>
      </c>
      <c r="G5" s="5">
        <v>4</v>
      </c>
      <c r="H5" s="167">
        <v>5</v>
      </c>
      <c r="I5" s="168" t="s">
        <v>22</v>
      </c>
      <c r="J5" s="167">
        <v>6</v>
      </c>
      <c r="M5" s="322">
        <v>1</v>
      </c>
      <c r="N5" s="323"/>
      <c r="O5" s="324"/>
      <c r="P5" s="164">
        <v>2</v>
      </c>
      <c r="Q5" s="164"/>
      <c r="R5" s="164">
        <v>3</v>
      </c>
      <c r="S5" s="164">
        <v>4</v>
      </c>
      <c r="T5" s="169">
        <v>5</v>
      </c>
      <c r="U5" s="169"/>
      <c r="V5" s="169">
        <v>6</v>
      </c>
    </row>
    <row r="6" spans="1:22" x14ac:dyDescent="0.25">
      <c r="A6" s="261" t="s">
        <v>133</v>
      </c>
      <c r="B6" s="262"/>
      <c r="C6" s="263"/>
      <c r="D6" s="70" t="s">
        <v>24</v>
      </c>
      <c r="E6" s="13">
        <v>1250</v>
      </c>
      <c r="F6" s="14"/>
      <c r="G6" s="15">
        <v>0.67</v>
      </c>
      <c r="H6" s="16" t="s">
        <v>25</v>
      </c>
      <c r="I6" s="47"/>
      <c r="J6" s="160">
        <v>13.869000000000002</v>
      </c>
      <c r="M6" s="261" t="s">
        <v>133</v>
      </c>
      <c r="N6" s="262"/>
      <c r="O6" s="263"/>
      <c r="P6" s="12" t="s">
        <v>24</v>
      </c>
      <c r="Q6" s="13">
        <v>1250</v>
      </c>
      <c r="R6" s="14"/>
      <c r="S6" s="15">
        <v>0.67</v>
      </c>
      <c r="T6" s="16" t="s">
        <v>25</v>
      </c>
      <c r="U6" s="162"/>
      <c r="V6" s="163">
        <v>13.574200000000001</v>
      </c>
    </row>
    <row r="7" spans="1:22" ht="15.75" x14ac:dyDescent="0.25">
      <c r="A7" s="264" t="s">
        <v>134</v>
      </c>
      <c r="B7" s="265"/>
      <c r="C7" s="266"/>
      <c r="D7" s="70" t="s">
        <v>26</v>
      </c>
      <c r="E7" s="13">
        <v>750</v>
      </c>
      <c r="F7" s="17">
        <v>8881</v>
      </c>
      <c r="G7" s="15">
        <v>0.55000000000000004</v>
      </c>
      <c r="H7" s="18">
        <v>17336.250000000004</v>
      </c>
      <c r="I7" s="19" t="s">
        <v>22</v>
      </c>
      <c r="J7" s="20">
        <v>11.385</v>
      </c>
      <c r="M7" s="264" t="s">
        <v>134</v>
      </c>
      <c r="N7" s="265"/>
      <c r="O7" s="266"/>
      <c r="P7" s="12" t="s">
        <v>26</v>
      </c>
      <c r="Q7" s="13">
        <v>750</v>
      </c>
      <c r="R7" s="17">
        <v>8705</v>
      </c>
      <c r="S7" s="15">
        <v>0.55000000000000004</v>
      </c>
      <c r="T7" s="18">
        <v>16967.75</v>
      </c>
      <c r="U7" s="19" t="s">
        <v>22</v>
      </c>
      <c r="V7" s="20">
        <v>11.143000000000002</v>
      </c>
    </row>
    <row r="8" spans="1:22" ht="15.75" x14ac:dyDescent="0.25">
      <c r="A8" s="264" t="s">
        <v>27</v>
      </c>
      <c r="B8" s="265"/>
      <c r="C8" s="266"/>
      <c r="D8" s="70" t="s">
        <v>28</v>
      </c>
      <c r="E8" s="13">
        <v>130</v>
      </c>
      <c r="F8" s="21">
        <v>2070</v>
      </c>
      <c r="G8" s="15">
        <v>0.33</v>
      </c>
      <c r="H8" s="18">
        <v>25875.000000000004</v>
      </c>
      <c r="I8" s="19" t="s">
        <v>22</v>
      </c>
      <c r="J8" s="20">
        <v>6.8310000000000004</v>
      </c>
      <c r="M8" s="264" t="s">
        <v>27</v>
      </c>
      <c r="N8" s="265"/>
      <c r="O8" s="266"/>
      <c r="P8" s="12" t="s">
        <v>28</v>
      </c>
      <c r="Q8" s="13">
        <v>130</v>
      </c>
      <c r="R8" s="21">
        <v>2026</v>
      </c>
      <c r="S8" s="15">
        <v>0.33</v>
      </c>
      <c r="T8" s="18">
        <v>25325</v>
      </c>
      <c r="U8" s="19" t="s">
        <v>22</v>
      </c>
      <c r="V8" s="20">
        <v>6.6858000000000004</v>
      </c>
    </row>
    <row r="9" spans="1:22" ht="25.5" x14ac:dyDescent="0.25">
      <c r="A9" s="267" t="s">
        <v>135</v>
      </c>
      <c r="B9" s="268"/>
      <c r="C9" s="269"/>
      <c r="D9" s="69" t="s">
        <v>29</v>
      </c>
      <c r="E9" s="23"/>
      <c r="F9" s="24" t="s">
        <v>30</v>
      </c>
      <c r="G9" s="25">
        <v>0.17</v>
      </c>
      <c r="H9" s="61">
        <v>26763.030000000002</v>
      </c>
      <c r="I9" s="26" t="s">
        <v>22</v>
      </c>
      <c r="J9" s="27">
        <v>3.5190000000000001</v>
      </c>
      <c r="M9" s="267" t="s">
        <v>135</v>
      </c>
      <c r="N9" s="268"/>
      <c r="O9" s="269"/>
      <c r="P9" s="22" t="s">
        <v>29</v>
      </c>
      <c r="Q9" s="23"/>
      <c r="R9" s="24" t="s">
        <v>30</v>
      </c>
      <c r="S9" s="25">
        <v>0.17</v>
      </c>
      <c r="T9" s="18">
        <v>26194.153999999999</v>
      </c>
      <c r="U9" s="26" t="s">
        <v>22</v>
      </c>
      <c r="V9" s="27">
        <v>3.4442000000000004</v>
      </c>
    </row>
    <row r="10" spans="1:22" x14ac:dyDescent="0.25">
      <c r="A10" s="325" t="s">
        <v>136</v>
      </c>
      <c r="B10" s="326"/>
      <c r="C10" s="327"/>
      <c r="D10" s="12" t="s">
        <v>31</v>
      </c>
      <c r="E10" s="28">
        <v>2400</v>
      </c>
      <c r="F10" s="29"/>
      <c r="G10" s="30">
        <v>0.35</v>
      </c>
      <c r="H10" s="31" t="s">
        <v>25</v>
      </c>
      <c r="I10" s="32"/>
      <c r="J10" s="160">
        <v>6.7654999999999994</v>
      </c>
      <c r="M10" s="325" t="s">
        <v>136</v>
      </c>
      <c r="N10" s="326"/>
      <c r="O10" s="327"/>
      <c r="P10" s="12" t="s">
        <v>31</v>
      </c>
      <c r="Q10" s="28">
        <v>2400</v>
      </c>
      <c r="R10" s="29"/>
      <c r="S10" s="30">
        <v>0.35</v>
      </c>
      <c r="T10" s="31" t="s">
        <v>25</v>
      </c>
      <c r="U10" s="32"/>
      <c r="V10" s="20">
        <v>6.6114999999999995</v>
      </c>
    </row>
    <row r="11" spans="1:22" ht="15.75" x14ac:dyDescent="0.25">
      <c r="A11" s="264" t="s">
        <v>134</v>
      </c>
      <c r="B11" s="265"/>
      <c r="C11" s="266"/>
      <c r="D11" s="12" t="s">
        <v>32</v>
      </c>
      <c r="E11" s="33">
        <v>1450</v>
      </c>
      <c r="F11" s="17">
        <v>8881</v>
      </c>
      <c r="G11" s="15">
        <v>0.28999999999999998</v>
      </c>
      <c r="H11" s="18">
        <v>16237.199999999999</v>
      </c>
      <c r="I11" s="19" t="s">
        <v>22</v>
      </c>
      <c r="J11" s="20">
        <v>5.6056999999999997</v>
      </c>
      <c r="M11" s="264" t="s">
        <v>134</v>
      </c>
      <c r="N11" s="265"/>
      <c r="O11" s="266"/>
      <c r="P11" s="12" t="s">
        <v>32</v>
      </c>
      <c r="Q11" s="33">
        <v>1450</v>
      </c>
      <c r="R11" s="17">
        <v>8705</v>
      </c>
      <c r="S11" s="15">
        <v>0.28999999999999998</v>
      </c>
      <c r="T11" s="18">
        <v>15867.599999999999</v>
      </c>
      <c r="U11" s="19" t="s">
        <v>22</v>
      </c>
      <c r="V11" s="20">
        <v>5.4780999999999995</v>
      </c>
    </row>
    <row r="12" spans="1:22" ht="15.75" x14ac:dyDescent="0.25">
      <c r="A12" s="264" t="s">
        <v>33</v>
      </c>
      <c r="B12" s="265"/>
      <c r="C12" s="266"/>
      <c r="D12" s="12" t="s">
        <v>34</v>
      </c>
      <c r="E12" s="33">
        <v>250</v>
      </c>
      <c r="F12" s="21">
        <v>1933</v>
      </c>
      <c r="G12" s="15">
        <v>0.17</v>
      </c>
      <c r="H12" s="18">
        <v>24365.464999999997</v>
      </c>
      <c r="I12" s="19" t="s">
        <v>22</v>
      </c>
      <c r="J12" s="20">
        <v>3.2861000000000002</v>
      </c>
      <c r="M12" s="264" t="s">
        <v>33</v>
      </c>
      <c r="N12" s="265"/>
      <c r="O12" s="266"/>
      <c r="P12" s="12" t="s">
        <v>34</v>
      </c>
      <c r="Q12" s="33">
        <v>250</v>
      </c>
      <c r="R12" s="21">
        <v>1889</v>
      </c>
      <c r="S12" s="15">
        <v>0.17</v>
      </c>
      <c r="T12" s="18">
        <v>23810.844999999998</v>
      </c>
      <c r="U12" s="19" t="s">
        <v>22</v>
      </c>
      <c r="V12" s="20">
        <v>3.2113</v>
      </c>
    </row>
    <row r="13" spans="1:22" ht="25.5" x14ac:dyDescent="0.25">
      <c r="A13" s="267" t="s">
        <v>135</v>
      </c>
      <c r="B13" s="268"/>
      <c r="C13" s="269"/>
      <c r="D13" s="22" t="s">
        <v>35</v>
      </c>
      <c r="E13" s="34"/>
      <c r="F13" s="24" t="s">
        <v>36</v>
      </c>
      <c r="G13" s="25">
        <v>0.09</v>
      </c>
      <c r="H13" s="61">
        <v>25186.989999999998</v>
      </c>
      <c r="I13" s="26" t="s">
        <v>22</v>
      </c>
      <c r="J13" s="27">
        <v>1.7397</v>
      </c>
      <c r="M13" s="267" t="s">
        <v>135</v>
      </c>
      <c r="N13" s="268"/>
      <c r="O13" s="269"/>
      <c r="P13" s="22" t="s">
        <v>35</v>
      </c>
      <c r="Q13" s="34"/>
      <c r="R13" s="24" t="s">
        <v>36</v>
      </c>
      <c r="S13" s="25">
        <v>0.09</v>
      </c>
      <c r="T13" s="18">
        <v>24613.67</v>
      </c>
      <c r="U13" s="26" t="s">
        <v>22</v>
      </c>
      <c r="V13" s="27">
        <v>1.7000999999999999</v>
      </c>
    </row>
    <row r="14" spans="1:22" x14ac:dyDescent="0.25">
      <c r="A14" s="335" t="s">
        <v>37</v>
      </c>
      <c r="B14" s="335"/>
      <c r="C14" s="335"/>
      <c r="D14" s="35" t="s">
        <v>38</v>
      </c>
      <c r="E14" s="28">
        <v>3550</v>
      </c>
      <c r="F14" s="36"/>
      <c r="G14" s="30">
        <v>0.24</v>
      </c>
      <c r="H14" s="31" t="s">
        <v>25</v>
      </c>
      <c r="I14" s="37"/>
      <c r="J14" s="160">
        <v>4.3175999999999997</v>
      </c>
      <c r="M14" s="270" t="s">
        <v>37</v>
      </c>
      <c r="N14" s="271"/>
      <c r="O14" s="272"/>
      <c r="P14" s="35" t="s">
        <v>38</v>
      </c>
      <c r="Q14" s="28">
        <v>3550</v>
      </c>
      <c r="R14" s="36"/>
      <c r="S14" s="30">
        <v>0.24</v>
      </c>
      <c r="T14" s="31" t="s">
        <v>25</v>
      </c>
      <c r="U14" s="37"/>
      <c r="V14" s="20">
        <v>4.2119999999999997</v>
      </c>
    </row>
    <row r="15" spans="1:22" ht="15.75" x14ac:dyDescent="0.25">
      <c r="A15" s="336"/>
      <c r="B15" s="337"/>
      <c r="C15" s="337"/>
      <c r="D15" s="12" t="s">
        <v>39</v>
      </c>
      <c r="E15" s="33">
        <v>2100</v>
      </c>
      <c r="F15" s="17">
        <v>8881</v>
      </c>
      <c r="G15" s="38">
        <v>0.2</v>
      </c>
      <c r="H15" s="18">
        <v>15327.48</v>
      </c>
      <c r="I15" s="19" t="s">
        <v>22</v>
      </c>
      <c r="J15" s="20">
        <v>3.5980000000000003</v>
      </c>
      <c r="M15" s="273"/>
      <c r="N15" s="274"/>
      <c r="O15" s="275"/>
      <c r="P15" s="12" t="s">
        <v>39</v>
      </c>
      <c r="Q15" s="33">
        <v>2100</v>
      </c>
      <c r="R15" s="17">
        <v>8705</v>
      </c>
      <c r="S15" s="38">
        <v>0.2</v>
      </c>
      <c r="T15" s="18">
        <v>14952.599999999999</v>
      </c>
      <c r="U15" s="19" t="s">
        <v>22</v>
      </c>
      <c r="V15" s="20">
        <v>3.51</v>
      </c>
    </row>
    <row r="16" spans="1:22" ht="15.75" x14ac:dyDescent="0.25">
      <c r="A16" s="336"/>
      <c r="B16" s="337"/>
      <c r="C16" s="337"/>
      <c r="D16" s="12" t="s">
        <v>40</v>
      </c>
      <c r="E16" s="33">
        <v>360</v>
      </c>
      <c r="F16" s="21">
        <v>1799</v>
      </c>
      <c r="G16" s="15">
        <v>0.12</v>
      </c>
      <c r="H16" s="18">
        <v>22883.279999999999</v>
      </c>
      <c r="I16" s="19" t="s">
        <v>22</v>
      </c>
      <c r="J16" s="20">
        <v>2.1587999999999998</v>
      </c>
      <c r="M16" s="273"/>
      <c r="N16" s="274"/>
      <c r="O16" s="275"/>
      <c r="P16" s="12" t="s">
        <v>40</v>
      </c>
      <c r="Q16" s="33">
        <v>360</v>
      </c>
      <c r="R16" s="21">
        <v>1755</v>
      </c>
      <c r="S16" s="15">
        <v>0.12</v>
      </c>
      <c r="T16" s="18">
        <v>22323.599999999999</v>
      </c>
      <c r="U16" s="19" t="s">
        <v>22</v>
      </c>
      <c r="V16" s="20">
        <v>2.1059999999999999</v>
      </c>
    </row>
    <row r="17" spans="1:22" ht="25.5" x14ac:dyDescent="0.25">
      <c r="A17" s="338"/>
      <c r="B17" s="339"/>
      <c r="C17" s="339"/>
      <c r="D17" s="12" t="s">
        <v>41</v>
      </c>
      <c r="E17" s="33"/>
      <c r="F17" s="39" t="s">
        <v>42</v>
      </c>
      <c r="G17" s="14">
        <v>0.06</v>
      </c>
      <c r="H17" s="61">
        <v>23660.448</v>
      </c>
      <c r="I17" s="26" t="s">
        <v>22</v>
      </c>
      <c r="J17" s="27">
        <v>1.0793999999999999</v>
      </c>
      <c r="M17" s="276"/>
      <c r="N17" s="277"/>
      <c r="O17" s="278"/>
      <c r="P17" s="12" t="s">
        <v>41</v>
      </c>
      <c r="Q17" s="33"/>
      <c r="R17" s="39" t="s">
        <v>42</v>
      </c>
      <c r="S17" s="14">
        <v>0.06</v>
      </c>
      <c r="T17" s="18">
        <v>23081.759999999998</v>
      </c>
      <c r="U17" s="26" t="s">
        <v>22</v>
      </c>
      <c r="V17" s="27">
        <v>1.0529999999999999</v>
      </c>
    </row>
    <row r="18" spans="1:22" ht="15.75" x14ac:dyDescent="0.25">
      <c r="A18" s="279"/>
      <c r="B18" s="280"/>
      <c r="C18" s="280"/>
      <c r="D18" s="280"/>
      <c r="E18" s="280"/>
      <c r="F18" s="280"/>
      <c r="G18" s="281"/>
      <c r="H18" s="332" t="s">
        <v>19</v>
      </c>
      <c r="I18" s="332"/>
      <c r="J18" s="332"/>
      <c r="M18" s="279"/>
      <c r="N18" s="280"/>
      <c r="O18" s="280"/>
      <c r="P18" s="280"/>
      <c r="Q18" s="280"/>
      <c r="R18" s="280"/>
      <c r="S18" s="281"/>
      <c r="T18" s="298" t="s">
        <v>19</v>
      </c>
      <c r="U18" s="299"/>
      <c r="V18" s="300"/>
    </row>
    <row r="19" spans="1:22" x14ac:dyDescent="0.25">
      <c r="A19" s="285" t="s">
        <v>43</v>
      </c>
      <c r="B19" s="250"/>
      <c r="C19" s="286"/>
      <c r="D19" s="290" t="s">
        <v>44</v>
      </c>
      <c r="E19" s="40"/>
      <c r="F19" s="17">
        <v>8881</v>
      </c>
      <c r="G19" s="333">
        <v>0.18</v>
      </c>
      <c r="H19" s="95">
        <v>2.9663999999999997</v>
      </c>
      <c r="I19" s="96"/>
      <c r="J19" s="97"/>
      <c r="M19" s="301" t="s">
        <v>43</v>
      </c>
      <c r="N19" s="247"/>
      <c r="O19" s="302"/>
      <c r="P19" s="303" t="s">
        <v>44</v>
      </c>
      <c r="Q19" s="40"/>
      <c r="R19" s="17">
        <v>8705</v>
      </c>
      <c r="S19" s="258">
        <v>0.18</v>
      </c>
      <c r="T19" s="95">
        <v>2.8871999999999995</v>
      </c>
      <c r="U19" s="96"/>
      <c r="V19" s="97"/>
    </row>
    <row r="20" spans="1:22" x14ac:dyDescent="0.25">
      <c r="A20" s="285"/>
      <c r="B20" s="250"/>
      <c r="C20" s="286"/>
      <c r="D20" s="290"/>
      <c r="E20" s="41"/>
      <c r="F20" s="21">
        <v>1648</v>
      </c>
      <c r="G20" s="333"/>
      <c r="H20" s="98"/>
      <c r="I20" s="99"/>
      <c r="J20" s="100"/>
      <c r="M20" s="285"/>
      <c r="N20" s="250"/>
      <c r="O20" s="286"/>
      <c r="P20" s="290"/>
      <c r="Q20" s="41"/>
      <c r="R20" s="21">
        <v>1604</v>
      </c>
      <c r="S20" s="259"/>
      <c r="T20" s="98"/>
      <c r="U20" s="99"/>
      <c r="V20" s="100"/>
    </row>
    <row r="21" spans="1:22" ht="25.5" x14ac:dyDescent="0.25">
      <c r="A21" s="295"/>
      <c r="B21" s="296"/>
      <c r="C21" s="297"/>
      <c r="D21" s="291"/>
      <c r="E21" s="40"/>
      <c r="F21" s="42" t="s">
        <v>45</v>
      </c>
      <c r="G21" s="334"/>
      <c r="H21" s="101"/>
      <c r="I21" s="102"/>
      <c r="J21" s="103"/>
      <c r="M21" s="295"/>
      <c r="N21" s="296"/>
      <c r="O21" s="297"/>
      <c r="P21" s="291"/>
      <c r="Q21" s="40"/>
      <c r="R21" s="42" t="s">
        <v>45</v>
      </c>
      <c r="S21" s="260"/>
      <c r="T21" s="101"/>
      <c r="U21" s="102"/>
      <c r="V21" s="103"/>
    </row>
    <row r="22" spans="1:22" x14ac:dyDescent="0.25">
      <c r="A22" s="282" t="s">
        <v>46</v>
      </c>
      <c r="B22" s="283"/>
      <c r="C22" s="284"/>
      <c r="D22" s="290" t="s">
        <v>44</v>
      </c>
      <c r="E22" s="43"/>
      <c r="F22" s="44">
        <v>8881</v>
      </c>
      <c r="G22" s="258">
        <v>0.15</v>
      </c>
      <c r="H22" s="95">
        <v>2.2665000000000002</v>
      </c>
      <c r="I22" s="96"/>
      <c r="J22" s="97"/>
      <c r="M22" s="282" t="s">
        <v>46</v>
      </c>
      <c r="N22" s="283"/>
      <c r="O22" s="284"/>
      <c r="P22" s="289" t="s">
        <v>44</v>
      </c>
      <c r="Q22" s="43"/>
      <c r="R22" s="44">
        <v>8705</v>
      </c>
      <c r="S22" s="258">
        <v>0.15</v>
      </c>
      <c r="T22" s="95">
        <v>2.2004999999999999</v>
      </c>
      <c r="U22" s="96"/>
      <c r="V22" s="97"/>
    </row>
    <row r="23" spans="1:22" x14ac:dyDescent="0.25">
      <c r="A23" s="285"/>
      <c r="B23" s="250"/>
      <c r="C23" s="286"/>
      <c r="D23" s="290"/>
      <c r="E23" s="41"/>
      <c r="F23" s="21">
        <v>1511</v>
      </c>
      <c r="G23" s="259"/>
      <c r="H23" s="98"/>
      <c r="I23" s="99"/>
      <c r="J23" s="100"/>
      <c r="M23" s="285"/>
      <c r="N23" s="250"/>
      <c r="O23" s="286"/>
      <c r="P23" s="290"/>
      <c r="Q23" s="41"/>
      <c r="R23" s="21">
        <v>1467</v>
      </c>
      <c r="S23" s="259"/>
      <c r="T23" s="98"/>
      <c r="U23" s="99"/>
      <c r="V23" s="100"/>
    </row>
    <row r="24" spans="1:22" ht="25.5" x14ac:dyDescent="0.25">
      <c r="A24" s="295"/>
      <c r="B24" s="296"/>
      <c r="C24" s="297"/>
      <c r="D24" s="291"/>
      <c r="E24" s="40"/>
      <c r="F24" s="42" t="s">
        <v>47</v>
      </c>
      <c r="G24" s="260"/>
      <c r="H24" s="101"/>
      <c r="I24" s="102"/>
      <c r="J24" s="103"/>
      <c r="M24" s="295"/>
      <c r="N24" s="296"/>
      <c r="O24" s="297"/>
      <c r="P24" s="291"/>
      <c r="Q24" s="40"/>
      <c r="R24" s="42" t="s">
        <v>47</v>
      </c>
      <c r="S24" s="260"/>
      <c r="T24" s="101"/>
      <c r="U24" s="102"/>
      <c r="V24" s="103"/>
    </row>
    <row r="25" spans="1:22" x14ac:dyDescent="0.25">
      <c r="A25" s="282" t="s">
        <v>48</v>
      </c>
      <c r="B25" s="283"/>
      <c r="C25" s="284"/>
      <c r="D25" s="290" t="s">
        <v>44</v>
      </c>
      <c r="E25" s="43"/>
      <c r="F25" s="44">
        <v>8881</v>
      </c>
      <c r="G25" s="292">
        <v>0.1</v>
      </c>
      <c r="H25" s="95">
        <v>1.1100000000000001</v>
      </c>
      <c r="I25" s="96"/>
      <c r="J25" s="97"/>
      <c r="M25" s="282" t="s">
        <v>48</v>
      </c>
      <c r="N25" s="283"/>
      <c r="O25" s="284"/>
      <c r="P25" s="289" t="s">
        <v>44</v>
      </c>
      <c r="Q25" s="43"/>
      <c r="R25" s="44">
        <v>8705</v>
      </c>
      <c r="S25" s="292">
        <v>0.1</v>
      </c>
      <c r="T25" s="95">
        <v>1.0660000000000001</v>
      </c>
      <c r="U25" s="96"/>
      <c r="V25" s="97"/>
    </row>
    <row r="26" spans="1:22" x14ac:dyDescent="0.25">
      <c r="A26" s="285"/>
      <c r="B26" s="250"/>
      <c r="C26" s="286"/>
      <c r="D26" s="290"/>
      <c r="E26" s="41"/>
      <c r="F26" s="21">
        <v>1110</v>
      </c>
      <c r="G26" s="293"/>
      <c r="H26" s="98"/>
      <c r="I26" s="99"/>
      <c r="J26" s="100"/>
      <c r="M26" s="285"/>
      <c r="N26" s="250"/>
      <c r="O26" s="286"/>
      <c r="P26" s="290"/>
      <c r="Q26" s="41"/>
      <c r="R26" s="21">
        <v>1066</v>
      </c>
      <c r="S26" s="293"/>
      <c r="T26" s="98"/>
      <c r="U26" s="99"/>
      <c r="V26" s="100"/>
    </row>
    <row r="27" spans="1:22" ht="25.5" x14ac:dyDescent="0.25">
      <c r="A27" s="285"/>
      <c r="B27" s="250"/>
      <c r="C27" s="286"/>
      <c r="D27" s="291"/>
      <c r="E27" s="40"/>
      <c r="F27" s="42" t="s">
        <v>49</v>
      </c>
      <c r="G27" s="294"/>
      <c r="H27" s="101"/>
      <c r="I27" s="102"/>
      <c r="J27" s="103"/>
      <c r="M27" s="287"/>
      <c r="N27" s="253"/>
      <c r="O27" s="288"/>
      <c r="P27" s="291"/>
      <c r="Q27" s="40"/>
      <c r="R27" s="42" t="s">
        <v>49</v>
      </c>
      <c r="S27" s="294"/>
      <c r="T27" s="101"/>
      <c r="U27" s="102"/>
      <c r="V27" s="103"/>
    </row>
    <row r="28" spans="1:22" x14ac:dyDescent="0.25">
      <c r="A28" s="246" t="s">
        <v>50</v>
      </c>
      <c r="B28" s="247"/>
      <c r="C28" s="248"/>
      <c r="D28" s="290" t="s">
        <v>44</v>
      </c>
      <c r="E28" s="43"/>
      <c r="F28" s="44">
        <v>8881</v>
      </c>
      <c r="G28" s="329">
        <v>7.0000000000000007E-2</v>
      </c>
      <c r="H28" s="95">
        <v>0.44240000000000002</v>
      </c>
      <c r="I28" s="96"/>
      <c r="J28" s="97"/>
      <c r="M28" s="246" t="s">
        <v>50</v>
      </c>
      <c r="N28" s="247"/>
      <c r="O28" s="248"/>
      <c r="P28" s="255" t="s">
        <v>44</v>
      </c>
      <c r="Q28" s="43"/>
      <c r="R28" s="44">
        <v>8705</v>
      </c>
      <c r="S28" s="258">
        <v>7.0000000000000007E-2</v>
      </c>
      <c r="T28" s="95">
        <v>0.41160000000000002</v>
      </c>
      <c r="U28" s="96"/>
      <c r="V28" s="97"/>
    </row>
    <row r="29" spans="1:22" x14ac:dyDescent="0.25">
      <c r="A29" s="249"/>
      <c r="B29" s="250"/>
      <c r="C29" s="251"/>
      <c r="D29" s="290"/>
      <c r="E29" s="40"/>
      <c r="F29" s="21">
        <v>632</v>
      </c>
      <c r="G29" s="330"/>
      <c r="H29" s="98"/>
      <c r="I29" s="99"/>
      <c r="J29" s="100"/>
      <c r="M29" s="249"/>
      <c r="N29" s="250"/>
      <c r="O29" s="251"/>
      <c r="P29" s="256"/>
      <c r="Q29" s="40"/>
      <c r="R29" s="21">
        <v>588</v>
      </c>
      <c r="S29" s="259"/>
      <c r="T29" s="98"/>
      <c r="U29" s="99"/>
      <c r="V29" s="100"/>
    </row>
    <row r="30" spans="1:22" ht="25.5" x14ac:dyDescent="0.25">
      <c r="A30" s="252"/>
      <c r="B30" s="253"/>
      <c r="C30" s="254"/>
      <c r="D30" s="328"/>
      <c r="E30" s="161"/>
      <c r="F30" s="42" t="s">
        <v>51</v>
      </c>
      <c r="G30" s="331"/>
      <c r="H30" s="101"/>
      <c r="I30" s="102"/>
      <c r="J30" s="103"/>
      <c r="M30" s="252"/>
      <c r="N30" s="253"/>
      <c r="O30" s="254"/>
      <c r="P30" s="257"/>
      <c r="Q30" s="161"/>
      <c r="R30" s="42" t="s">
        <v>51</v>
      </c>
      <c r="S30" s="260"/>
      <c r="T30" s="101"/>
      <c r="U30" s="102"/>
      <c r="V30" s="103"/>
    </row>
    <row r="32" spans="1:22" x14ac:dyDescent="0.25">
      <c r="A32" s="45" t="s">
        <v>13</v>
      </c>
      <c r="F32" s="4" t="s">
        <v>13</v>
      </c>
      <c r="G32" s="46" t="s">
        <v>13</v>
      </c>
      <c r="M32" s="45" t="s">
        <v>52</v>
      </c>
      <c r="R32" s="4" t="s">
        <v>13</v>
      </c>
      <c r="S32" s="46" t="s">
        <v>13</v>
      </c>
    </row>
  </sheetData>
  <sheetProtection algorithmName="SHA-512" hashValue="VA6Sh2aYSqswOX9z+4KAZKhI2QnVdby1RWTw1JBgoCYrsGQimLr0bcOmkfuit0zrzt4drwsWkNI9APfqCx9yUA==" saltValue="t2FMmfcn4ywZyq+4b3Wkow==" spinCount="100000" sheet="1" objects="1" scenarios="1"/>
  <mergeCells count="60">
    <mergeCell ref="A5:C5"/>
    <mergeCell ref="A1:J1"/>
    <mergeCell ref="A3:C4"/>
    <mergeCell ref="D3:D4"/>
    <mergeCell ref="F3:F4"/>
    <mergeCell ref="G3:G4"/>
    <mergeCell ref="H3:J3"/>
    <mergeCell ref="A10:C10"/>
    <mergeCell ref="A11:C11"/>
    <mergeCell ref="A12:C12"/>
    <mergeCell ref="A13:C13"/>
    <mergeCell ref="A14:C17"/>
    <mergeCell ref="M11:O11"/>
    <mergeCell ref="M12:O12"/>
    <mergeCell ref="A28:C30"/>
    <mergeCell ref="D28:D30"/>
    <mergeCell ref="G28:G30"/>
    <mergeCell ref="A18:G18"/>
    <mergeCell ref="A22:C24"/>
    <mergeCell ref="D22:D24"/>
    <mergeCell ref="G22:G24"/>
    <mergeCell ref="A25:C27"/>
    <mergeCell ref="D25:D27"/>
    <mergeCell ref="G25:G27"/>
    <mergeCell ref="H18:J18"/>
    <mergeCell ref="A19:C21"/>
    <mergeCell ref="D19:D21"/>
    <mergeCell ref="G19:G21"/>
    <mergeCell ref="T18:V18"/>
    <mergeCell ref="M19:O21"/>
    <mergeCell ref="P19:P21"/>
    <mergeCell ref="S19:S21"/>
    <mergeCell ref="M1:V1"/>
    <mergeCell ref="M3:O4"/>
    <mergeCell ref="P3:P4"/>
    <mergeCell ref="R3:R4"/>
    <mergeCell ref="S3:S4"/>
    <mergeCell ref="T3:V3"/>
    <mergeCell ref="M5:O5"/>
    <mergeCell ref="M6:O6"/>
    <mergeCell ref="M7:O7"/>
    <mergeCell ref="M8:O8"/>
    <mergeCell ref="M9:O9"/>
    <mergeCell ref="M10:O10"/>
    <mergeCell ref="M28:O30"/>
    <mergeCell ref="P28:P30"/>
    <mergeCell ref="S28:S30"/>
    <mergeCell ref="A6:C6"/>
    <mergeCell ref="A7:C7"/>
    <mergeCell ref="A8:C8"/>
    <mergeCell ref="A9:C9"/>
    <mergeCell ref="M13:O13"/>
    <mergeCell ref="M14:O17"/>
    <mergeCell ref="M18:S18"/>
    <mergeCell ref="M25:O27"/>
    <mergeCell ref="P25:P27"/>
    <mergeCell ref="S25:S27"/>
    <mergeCell ref="M22:O24"/>
    <mergeCell ref="P22:P24"/>
    <mergeCell ref="S22:S24"/>
  </mergeCells>
  <pageMargins left="0.23622047244094491" right="0.23622047244094491" top="0.35433070866141736" bottom="0.35433070866141736" header="0.19685039370078741" footer="0.11811023622047245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0969-DACF-4051-AAB0-7B5EB516444B}">
  <dimension ref="A1:D37"/>
  <sheetViews>
    <sheetView workbookViewId="0">
      <selection activeCell="C24" sqref="C24"/>
    </sheetView>
  </sheetViews>
  <sheetFormatPr defaultRowHeight="15" x14ac:dyDescent="0.25"/>
  <cols>
    <col min="1" max="1" width="27.140625" bestFit="1" customWidth="1"/>
    <col min="2" max="2" width="14.7109375" bestFit="1" customWidth="1"/>
    <col min="3" max="3" width="23.7109375" customWidth="1"/>
    <col min="4" max="4" width="11.5703125" customWidth="1"/>
  </cols>
  <sheetData>
    <row r="1" spans="1:4" ht="45" x14ac:dyDescent="0.25">
      <c r="A1" s="11" t="s">
        <v>16</v>
      </c>
      <c r="B1" s="89" t="s">
        <v>10</v>
      </c>
      <c r="C1" s="10" t="s">
        <v>23</v>
      </c>
      <c r="D1" s="177" t="s">
        <v>149</v>
      </c>
    </row>
    <row r="2" spans="1:4" x14ac:dyDescent="0.25">
      <c r="A2" s="218" t="s">
        <v>27</v>
      </c>
      <c r="B2" s="124">
        <v>1250</v>
      </c>
      <c r="C2" s="132">
        <v>13.869000000000002</v>
      </c>
      <c r="D2" s="163">
        <v>13.574200000000001</v>
      </c>
    </row>
    <row r="3" spans="1:4" x14ac:dyDescent="0.25">
      <c r="A3" s="219"/>
      <c r="B3" s="124" t="s">
        <v>61</v>
      </c>
      <c r="C3" s="128">
        <v>11.385</v>
      </c>
      <c r="D3" s="20">
        <v>11.143000000000002</v>
      </c>
    </row>
    <row r="4" spans="1:4" x14ac:dyDescent="0.25">
      <c r="A4" s="219"/>
      <c r="B4" s="124" t="s">
        <v>62</v>
      </c>
      <c r="C4" s="128">
        <v>6.8310000000000004</v>
      </c>
      <c r="D4" s="20">
        <v>6.6858000000000004</v>
      </c>
    </row>
    <row r="5" spans="1:4" x14ac:dyDescent="0.25">
      <c r="A5" s="220"/>
      <c r="B5" s="124">
        <v>2131</v>
      </c>
      <c r="C5" s="129">
        <v>3.5190000000000001</v>
      </c>
      <c r="D5" s="27">
        <v>3.4442000000000004</v>
      </c>
    </row>
    <row r="6" spans="1:4" x14ac:dyDescent="0.25">
      <c r="A6" s="215" t="s">
        <v>33</v>
      </c>
      <c r="B6" s="12" t="s">
        <v>31</v>
      </c>
      <c r="C6" s="133">
        <v>6.7654999999999994</v>
      </c>
      <c r="D6" s="20">
        <v>6.6114999999999995</v>
      </c>
    </row>
    <row r="7" spans="1:4" x14ac:dyDescent="0.25">
      <c r="A7" s="216"/>
      <c r="B7" s="12" t="s">
        <v>32</v>
      </c>
      <c r="C7" s="130">
        <v>5.6056999999999997</v>
      </c>
      <c r="D7" s="20">
        <v>5.4780999999999995</v>
      </c>
    </row>
    <row r="8" spans="1:4" x14ac:dyDescent="0.25">
      <c r="A8" s="216"/>
      <c r="B8" s="12" t="s">
        <v>34</v>
      </c>
      <c r="C8" s="130">
        <v>3.2861000000000002</v>
      </c>
      <c r="D8" s="20">
        <v>3.2113</v>
      </c>
    </row>
    <row r="9" spans="1:4" x14ac:dyDescent="0.25">
      <c r="A9" s="217"/>
      <c r="B9" s="22" t="s">
        <v>35</v>
      </c>
      <c r="C9" s="131">
        <v>1.7397</v>
      </c>
      <c r="D9" s="27">
        <v>1.7000999999999999</v>
      </c>
    </row>
    <row r="10" spans="1:4" x14ac:dyDescent="0.25">
      <c r="A10" s="221" t="s">
        <v>37</v>
      </c>
      <c r="B10" s="35" t="s">
        <v>38</v>
      </c>
      <c r="C10" s="133">
        <v>4.3175999999999997</v>
      </c>
      <c r="D10" s="20">
        <v>4.2119999999999997</v>
      </c>
    </row>
    <row r="11" spans="1:4" x14ac:dyDescent="0.25">
      <c r="A11" s="222"/>
      <c r="B11" s="12" t="s">
        <v>39</v>
      </c>
      <c r="C11" s="130">
        <v>3.5980000000000003</v>
      </c>
      <c r="D11" s="20">
        <v>3.51</v>
      </c>
    </row>
    <row r="12" spans="1:4" x14ac:dyDescent="0.25">
      <c r="A12" s="222"/>
      <c r="B12" s="12" t="s">
        <v>40</v>
      </c>
      <c r="C12" s="130">
        <v>2.1587999999999998</v>
      </c>
      <c r="D12" s="20">
        <v>2.1059999999999999</v>
      </c>
    </row>
    <row r="13" spans="1:4" x14ac:dyDescent="0.25">
      <c r="A13" s="223"/>
      <c r="B13" s="12" t="s">
        <v>41</v>
      </c>
      <c r="C13" s="131">
        <v>1.0793999999999999</v>
      </c>
      <c r="D13" s="27">
        <v>1.0529999999999999</v>
      </c>
    </row>
    <row r="14" spans="1:4" x14ac:dyDescent="0.25">
      <c r="A14" s="115"/>
      <c r="B14" s="116"/>
      <c r="C14" s="116"/>
      <c r="D14" s="66"/>
    </row>
    <row r="15" spans="1:4" ht="30" x14ac:dyDescent="0.25">
      <c r="A15" s="224" t="s">
        <v>43</v>
      </c>
      <c r="B15" s="90" t="s">
        <v>44</v>
      </c>
      <c r="C15" s="95">
        <v>2.9663999999999997</v>
      </c>
      <c r="D15" s="95">
        <v>2.8871999999999995</v>
      </c>
    </row>
    <row r="16" spans="1:4" x14ac:dyDescent="0.25">
      <c r="A16" s="225"/>
      <c r="B16" s="90"/>
      <c r="C16" s="98"/>
      <c r="D16" s="98"/>
    </row>
    <row r="17" spans="1:4" x14ac:dyDescent="0.25">
      <c r="A17" s="226"/>
      <c r="B17" s="91"/>
      <c r="C17" s="101"/>
      <c r="D17" s="101"/>
    </row>
    <row r="18" spans="1:4" ht="30" x14ac:dyDescent="0.25">
      <c r="A18" s="227" t="s">
        <v>46</v>
      </c>
      <c r="B18" s="90" t="s">
        <v>44</v>
      </c>
      <c r="C18" s="95">
        <v>2.2665000000000002</v>
      </c>
      <c r="D18" s="95">
        <v>2.2004999999999999</v>
      </c>
    </row>
    <row r="19" spans="1:4" x14ac:dyDescent="0.25">
      <c r="A19" s="225"/>
      <c r="B19" s="90"/>
      <c r="C19" s="98"/>
      <c r="D19" s="98"/>
    </row>
    <row r="20" spans="1:4" x14ac:dyDescent="0.25">
      <c r="A20" s="226"/>
      <c r="B20" s="91"/>
      <c r="C20" s="101"/>
      <c r="D20" s="101"/>
    </row>
    <row r="21" spans="1:4" ht="30" x14ac:dyDescent="0.25">
      <c r="A21" s="221" t="s">
        <v>48</v>
      </c>
      <c r="B21" s="90" t="s">
        <v>44</v>
      </c>
      <c r="C21" s="95">
        <v>1.1100000000000001</v>
      </c>
      <c r="D21" s="95">
        <v>1.0660000000000001</v>
      </c>
    </row>
    <row r="22" spans="1:4" x14ac:dyDescent="0.25">
      <c r="A22" s="222"/>
      <c r="B22" s="90"/>
      <c r="C22" s="98"/>
      <c r="D22" s="98"/>
    </row>
    <row r="23" spans="1:4" x14ac:dyDescent="0.25">
      <c r="A23" s="223"/>
      <c r="B23" s="91"/>
      <c r="C23" s="101"/>
      <c r="D23" s="101"/>
    </row>
    <row r="24" spans="1:4" ht="30" x14ac:dyDescent="0.25">
      <c r="A24" s="212" t="s">
        <v>50</v>
      </c>
      <c r="B24" s="90" t="s">
        <v>44</v>
      </c>
      <c r="C24" s="95">
        <v>0.44240000000000002</v>
      </c>
      <c r="D24" s="95">
        <v>0.41160000000000002</v>
      </c>
    </row>
    <row r="25" spans="1:4" x14ac:dyDescent="0.25">
      <c r="A25" s="213"/>
      <c r="B25" s="90"/>
      <c r="C25" s="21"/>
      <c r="D25" s="98"/>
    </row>
    <row r="26" spans="1:4" x14ac:dyDescent="0.25">
      <c r="A26" s="214"/>
      <c r="B26" s="91"/>
      <c r="C26" s="42"/>
      <c r="D26" s="101"/>
    </row>
    <row r="31" spans="1:4" x14ac:dyDescent="0.25">
      <c r="A31" s="86" t="s">
        <v>27</v>
      </c>
    </row>
    <row r="32" spans="1:4" x14ac:dyDescent="0.25">
      <c r="A32" s="86" t="s">
        <v>33</v>
      </c>
    </row>
    <row r="33" spans="1:1" x14ac:dyDescent="0.25">
      <c r="A33" s="87" t="s">
        <v>37</v>
      </c>
    </row>
    <row r="34" spans="1:1" x14ac:dyDescent="0.25">
      <c r="A34" s="88" t="s">
        <v>43</v>
      </c>
    </row>
    <row r="35" spans="1:1" x14ac:dyDescent="0.25">
      <c r="A35" s="88" t="s">
        <v>46</v>
      </c>
    </row>
    <row r="36" spans="1:1" x14ac:dyDescent="0.25">
      <c r="A36" s="88" t="s">
        <v>48</v>
      </c>
    </row>
    <row r="37" spans="1:1" x14ac:dyDescent="0.25">
      <c r="A37" s="88" t="s">
        <v>50</v>
      </c>
    </row>
  </sheetData>
  <mergeCells count="7">
    <mergeCell ref="A24:A26"/>
    <mergeCell ref="A6:A9"/>
    <mergeCell ref="A2:A5"/>
    <mergeCell ref="A10:A13"/>
    <mergeCell ref="A15:A17"/>
    <mergeCell ref="A18:A20"/>
    <mergeCell ref="A21:A23"/>
  </mergeCells>
  <conditionalFormatting sqref="A31:A37">
    <cfRule type="cellIs" dxfId="1" priority="1" operator="equal">
      <formula>"01.01.1986 to 30.06.1993"</formula>
    </cfRule>
    <cfRule type="containsText" dxfId="0" priority="2" operator="containsText" text="01.01.1986 to 30.06.1993">
      <formula>NOT(ISERROR(SEARCH("01.01.1986 to 30.06.1993",A31)))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992A-DE17-431E-889F-BD2A474B4D11}">
  <dimension ref="A1:M38"/>
  <sheetViews>
    <sheetView workbookViewId="0">
      <selection activeCell="B6" sqref="B6"/>
    </sheetView>
  </sheetViews>
  <sheetFormatPr defaultRowHeight="15" x14ac:dyDescent="0.25"/>
  <cols>
    <col min="1" max="1" width="27.140625" bestFit="1" customWidth="1"/>
    <col min="2" max="2" width="14.7109375" bestFit="1" customWidth="1"/>
    <col min="3" max="3" width="25.85546875" bestFit="1" customWidth="1"/>
    <col min="4" max="4" width="9" bestFit="1" customWidth="1"/>
    <col min="5" max="5" width="18.28515625" bestFit="1" customWidth="1"/>
    <col min="6" max="6" width="18.28515625" customWidth="1"/>
    <col min="7" max="7" width="19.140625" bestFit="1" customWidth="1"/>
    <col min="8" max="8" width="27.7109375" customWidth="1"/>
    <col min="9" max="9" width="36.7109375" customWidth="1"/>
    <col min="10" max="10" width="15.42578125" customWidth="1"/>
  </cols>
  <sheetData>
    <row r="1" spans="1:13" ht="23.25" customHeight="1" x14ac:dyDescent="0.25">
      <c r="A1" s="75" t="s">
        <v>116</v>
      </c>
      <c r="H1" s="11" t="s">
        <v>16</v>
      </c>
      <c r="I1" s="89" t="s">
        <v>10</v>
      </c>
      <c r="J1" s="10" t="s">
        <v>23</v>
      </c>
    </row>
    <row r="2" spans="1:13" x14ac:dyDescent="0.25">
      <c r="A2" t="s">
        <v>27</v>
      </c>
      <c r="B2">
        <v>2195</v>
      </c>
      <c r="C2">
        <f t="shared" ref="C2:C7" si="0">IF(AND($A$2=$H$32,B2&lt;=1250),ROUND(B2*$J$3,2),IF(AND($A$2=$H$32,B2&gt;1250,B2&lt;2001),(ROUND(1250*$J$3,2)+ROUND((B2-1250)*$J$4,2)),IF(AND($A$2=$H$32,B2&gt;2000,B2&lt;2131),(ROUND(1250*$J$3,2)+ROUND((2000-1250)*$J$4,2)+ROUND((B2-2000)*$J$5,2)),IF(AND($A$2=$H$32,B2&gt;2130),(ROUND(1250*$J$3,2)+ROUND((2000-1250)*$J$4,2)+ROUND((2130-2000)*$J$5,2)+ROUND((B2-2130)*$J$6,2))))))</f>
        <v>26991.77</v>
      </c>
      <c r="H2" s="89">
        <v>1</v>
      </c>
      <c r="I2" s="5">
        <v>2</v>
      </c>
    </row>
    <row r="3" spans="1:13" x14ac:dyDescent="0.25">
      <c r="B3">
        <v>2455</v>
      </c>
      <c r="C3">
        <f t="shared" si="0"/>
        <v>27906.71</v>
      </c>
      <c r="H3" s="71" t="s">
        <v>13</v>
      </c>
      <c r="I3" s="70">
        <v>1250</v>
      </c>
      <c r="J3" s="20">
        <v>13.869000000000002</v>
      </c>
    </row>
    <row r="4" spans="1:13" x14ac:dyDescent="0.25">
      <c r="B4" s="52">
        <v>2675</v>
      </c>
      <c r="C4">
        <f t="shared" si="0"/>
        <v>28680.89</v>
      </c>
      <c r="H4" s="72" t="s">
        <v>27</v>
      </c>
      <c r="I4" s="70" t="s">
        <v>61</v>
      </c>
      <c r="J4" s="20">
        <v>11.385</v>
      </c>
    </row>
    <row r="5" spans="1:13" x14ac:dyDescent="0.25">
      <c r="B5" s="52">
        <v>2975</v>
      </c>
      <c r="C5">
        <f t="shared" si="0"/>
        <v>29736.59</v>
      </c>
      <c r="H5" s="73"/>
      <c r="I5" s="70" t="s">
        <v>62</v>
      </c>
      <c r="J5" s="20">
        <v>6.8310000000000004</v>
      </c>
    </row>
    <row r="6" spans="1:13" x14ac:dyDescent="0.25">
      <c r="B6" s="52">
        <v>3275</v>
      </c>
      <c r="C6">
        <f t="shared" si="0"/>
        <v>30792.29</v>
      </c>
      <c r="H6" s="74" t="s">
        <v>13</v>
      </c>
      <c r="I6" s="69">
        <v>2131</v>
      </c>
      <c r="J6" s="27">
        <v>3.5190000000000001</v>
      </c>
    </row>
    <row r="7" spans="1:13" x14ac:dyDescent="0.25">
      <c r="B7" s="52">
        <v>3500</v>
      </c>
      <c r="C7">
        <f t="shared" si="0"/>
        <v>31584.059999999998</v>
      </c>
      <c r="H7" s="113" t="s">
        <v>13</v>
      </c>
      <c r="I7" s="12" t="s">
        <v>31</v>
      </c>
      <c r="J7" s="20">
        <v>6.7654999999999994</v>
      </c>
    </row>
    <row r="8" spans="1:13" x14ac:dyDescent="0.25">
      <c r="C8">
        <f>IF(AND($A$2=$H$32,B8&lt;=1250),ROUND(B8*$J$3,2),IF(AND($A$2=$H$32,B8&gt;1250,B8&lt;2001),(ROUND(1250*$J$3,2)+ROUND((B8-1250)*$J$4,2)),IF(AND($A$2=$H$32,B8&gt;2000,B8&lt;2131),(ROUND(1250*$J$3,2)+ROUND((2000-1250)*$J$4,2)+ROUND((B8-2000)*J11,2)),IF(AND($A$2=$H$32,B8&gt;2130),(ROUND(1250*$J$3,2)+ROUND((2000-1250)*$J$4,2)+ROUND((2130-2000)*$J$5,2)+ROUND((B8-2130)*$J$6,2))))))</f>
        <v>0</v>
      </c>
      <c r="H8" s="113" t="s">
        <v>13</v>
      </c>
      <c r="I8" s="12" t="s">
        <v>32</v>
      </c>
      <c r="J8" s="20">
        <v>5.6056999999999997</v>
      </c>
    </row>
    <row r="9" spans="1:13" ht="15.75" x14ac:dyDescent="0.25">
      <c r="C9">
        <f>IF(AND($A$2=$H$32,B9&lt;=1250),ROUND(B9*$J$3,2),IF(AND($A$2=$H$32,B9&gt;1250,B9&lt;2001),(ROUND(1250*$J$3,2)+ROUND((B9-1250)*$J$4,2)),IF(AND($A$2=$H$32,B9&gt;2000,B9&lt;2131),(ROUND(1250*$J$3,2)+ROUND((2000-1250)*$J$4,2)+ROUND((B9-2000)*J12,2)),IF(AND($A$2=$H$32,B9&gt;2130),(ROUND(1250*$J$3,2)+ROUND((2000-1250)*$J$4,2)+ROUND((2130-2000)*J12,2)+ROUND((B9-2130)*J13,2))))))</f>
        <v>0</v>
      </c>
      <c r="H9" s="76" t="s">
        <v>33</v>
      </c>
      <c r="I9" s="12" t="s">
        <v>34</v>
      </c>
      <c r="J9" s="20">
        <v>3.2861000000000002</v>
      </c>
      <c r="M9" s="107"/>
    </row>
    <row r="10" spans="1:13" x14ac:dyDescent="0.25">
      <c r="C10">
        <f>IF(AND($A$2=$H$32,B10&lt;=1250),ROUND(B10*$J$3,2),IF(AND($A$2=$H$32,B10&gt;1250,B10&lt;2001),(ROUND(1250*$J$3,2)+ROUND((B10-1250)*$J$4,2)),IF(AND($A$2=$H$32,B10&gt;2000,B10&lt;2131),(ROUND(1250*$J$3,2)+ROUND((2000-1250)*$J$4,2)+ROUND((B10-2000)*J13,2)),IF(AND($A$2=$H$32,B10&gt;2130),(ROUND(1250*$J$3,2)+ROUND((2000-1250)*$J$4,2)+ROUND((2130-2000)*J13,2)+ROUND((B10-2130)*J14,2))))))</f>
        <v>0</v>
      </c>
      <c r="H10" s="114" t="s">
        <v>13</v>
      </c>
      <c r="I10" s="22" t="s">
        <v>35</v>
      </c>
      <c r="J10" s="27">
        <v>1.7397</v>
      </c>
      <c r="M10" s="96"/>
    </row>
    <row r="11" spans="1:13" x14ac:dyDescent="0.25">
      <c r="H11" s="77" t="s">
        <v>37</v>
      </c>
      <c r="I11" s="35" t="s">
        <v>38</v>
      </c>
      <c r="J11" s="20">
        <v>4.3175999999999997</v>
      </c>
      <c r="M11" s="99"/>
    </row>
    <row r="12" spans="1:13" x14ac:dyDescent="0.25">
      <c r="H12" s="78"/>
      <c r="I12" s="12" t="s">
        <v>39</v>
      </c>
      <c r="J12" s="20">
        <v>3.5980000000000003</v>
      </c>
      <c r="M12" s="102"/>
    </row>
    <row r="13" spans="1:13" x14ac:dyDescent="0.25">
      <c r="H13" s="78"/>
      <c r="I13" s="12" t="s">
        <v>40</v>
      </c>
      <c r="J13" s="20">
        <v>2.1587999999999998</v>
      </c>
      <c r="M13" s="96"/>
    </row>
    <row r="14" spans="1:13" x14ac:dyDescent="0.25">
      <c r="H14" s="79"/>
      <c r="I14" s="12" t="s">
        <v>41</v>
      </c>
      <c r="J14" s="27">
        <v>1.0793999999999999</v>
      </c>
      <c r="M14" s="99"/>
    </row>
    <row r="15" spans="1:13" ht="15.75" x14ac:dyDescent="0.25">
      <c r="H15" s="115"/>
      <c r="I15" s="116"/>
      <c r="J15" s="116"/>
      <c r="K15" s="117"/>
      <c r="L15" s="107" t="s">
        <v>19</v>
      </c>
      <c r="M15" s="102"/>
    </row>
    <row r="16" spans="1:13" x14ac:dyDescent="0.25">
      <c r="H16" s="80" t="s">
        <v>43</v>
      </c>
      <c r="I16" s="90" t="s">
        <v>44</v>
      </c>
      <c r="J16" s="17">
        <v>8881</v>
      </c>
      <c r="K16" s="108">
        <v>0.18</v>
      </c>
      <c r="L16" s="95">
        <v>2.9663999999999997</v>
      </c>
      <c r="M16" s="96"/>
    </row>
    <row r="17" spans="8:13" x14ac:dyDescent="0.25">
      <c r="H17" s="80"/>
      <c r="I17" s="90"/>
      <c r="J17" s="21">
        <v>1648</v>
      </c>
      <c r="K17" s="108"/>
      <c r="L17" s="98"/>
      <c r="M17" s="99"/>
    </row>
    <row r="18" spans="8:13" ht="25.5" x14ac:dyDescent="0.25">
      <c r="H18" s="81"/>
      <c r="I18" s="91"/>
      <c r="J18" s="42" t="s">
        <v>45</v>
      </c>
      <c r="K18" s="109"/>
      <c r="L18" s="101"/>
      <c r="M18" s="102"/>
    </row>
    <row r="19" spans="8:13" x14ac:dyDescent="0.25">
      <c r="H19" s="82" t="s">
        <v>46</v>
      </c>
      <c r="I19" s="90" t="s">
        <v>44</v>
      </c>
      <c r="J19" s="44">
        <v>8881</v>
      </c>
      <c r="K19" s="110">
        <v>0.15</v>
      </c>
      <c r="L19" s="95">
        <v>2.2665000000000002</v>
      </c>
      <c r="M19" s="96"/>
    </row>
    <row r="20" spans="8:13" x14ac:dyDescent="0.25">
      <c r="H20" s="80"/>
      <c r="I20" s="90"/>
      <c r="J20" s="21">
        <v>1511</v>
      </c>
      <c r="K20" s="111"/>
      <c r="L20" s="98"/>
      <c r="M20" s="99"/>
    </row>
    <row r="21" spans="8:13" ht="25.5" x14ac:dyDescent="0.25">
      <c r="H21" s="81"/>
      <c r="I21" s="91"/>
      <c r="J21" s="42" t="s">
        <v>47</v>
      </c>
      <c r="K21" s="112"/>
      <c r="L21" s="101"/>
      <c r="M21" s="102"/>
    </row>
    <row r="22" spans="8:13" x14ac:dyDescent="0.25">
      <c r="H22" s="82" t="s">
        <v>48</v>
      </c>
      <c r="I22" s="90" t="s">
        <v>44</v>
      </c>
      <c r="J22" s="44">
        <v>8881</v>
      </c>
      <c r="K22" s="92">
        <v>0.1</v>
      </c>
      <c r="L22" s="95">
        <v>1.1100000000000001</v>
      </c>
    </row>
    <row r="23" spans="8:13" x14ac:dyDescent="0.25">
      <c r="H23" s="80"/>
      <c r="I23" s="90"/>
      <c r="J23" s="21">
        <v>1110</v>
      </c>
      <c r="K23" s="93"/>
      <c r="L23" s="98"/>
    </row>
    <row r="24" spans="8:13" ht="25.5" x14ac:dyDescent="0.25">
      <c r="H24" s="80"/>
      <c r="I24" s="91"/>
      <c r="J24" s="42" t="s">
        <v>49</v>
      </c>
      <c r="K24" s="94"/>
      <c r="L24" s="101"/>
    </row>
    <row r="25" spans="8:13" x14ac:dyDescent="0.25">
      <c r="H25" s="83" t="s">
        <v>50</v>
      </c>
      <c r="I25" s="90" t="s">
        <v>44</v>
      </c>
      <c r="J25" s="44">
        <v>8881</v>
      </c>
      <c r="K25" s="104">
        <v>7.0000000000000007E-2</v>
      </c>
      <c r="L25" s="95">
        <v>0.44240000000000002</v>
      </c>
    </row>
    <row r="26" spans="8:13" x14ac:dyDescent="0.25">
      <c r="H26" s="84"/>
      <c r="I26" s="90"/>
      <c r="J26" s="21">
        <v>632</v>
      </c>
      <c r="K26" s="105"/>
      <c r="L26" s="98"/>
    </row>
    <row r="27" spans="8:13" ht="25.5" x14ac:dyDescent="0.25">
      <c r="H27" s="85"/>
      <c r="I27" s="91"/>
      <c r="J27" s="42" t="s">
        <v>51</v>
      </c>
      <c r="K27" s="106"/>
      <c r="L27" s="101"/>
    </row>
    <row r="32" spans="8:13" x14ac:dyDescent="0.25">
      <c r="H32" s="86" t="s">
        <v>27</v>
      </c>
    </row>
    <row r="33" spans="8:8" x14ac:dyDescent="0.25">
      <c r="H33" s="86" t="s">
        <v>33</v>
      </c>
    </row>
    <row r="34" spans="8:8" x14ac:dyDescent="0.25">
      <c r="H34" s="87" t="s">
        <v>37</v>
      </c>
    </row>
    <row r="35" spans="8:8" x14ac:dyDescent="0.25">
      <c r="H35" s="88" t="s">
        <v>43</v>
      </c>
    </row>
    <row r="36" spans="8:8" x14ac:dyDescent="0.25">
      <c r="H36" s="88" t="s">
        <v>46</v>
      </c>
    </row>
    <row r="37" spans="8:8" x14ac:dyDescent="0.25">
      <c r="H37" s="88" t="s">
        <v>48</v>
      </c>
    </row>
    <row r="38" spans="8:8" x14ac:dyDescent="0.25">
      <c r="H38" s="88" t="s">
        <v>50</v>
      </c>
    </row>
  </sheetData>
  <sheetProtection algorithmName="SHA-512" hashValue="I4FFZaYIi4XsBEwpk4y2A3oWzd5T0Jf6Q4knzKVJKk3Tgp0Zz1VRgF83cbyW0JWJObjp1+8msnV7WTVP2y+nsA==" saltValue="CHExPD1tJMvgIWCY+w9BDw==" spinCount="100000" sheet="1" objects="1" scenarios="1"/>
  <dataValidations count="1">
    <dataValidation type="list" allowBlank="1" showInputMessage="1" showErrorMessage="1" sqref="A2" xr:uid="{29FF3AFA-C227-4642-A8FD-5AEA726EC295}">
      <formula1>$H$32:$H$38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1AB-B73C-444E-8591-1D0891844D2D}">
  <dimension ref="A1:K20"/>
  <sheetViews>
    <sheetView workbookViewId="0">
      <selection activeCell="D3" sqref="D3"/>
    </sheetView>
  </sheetViews>
  <sheetFormatPr defaultRowHeight="15" x14ac:dyDescent="0.25"/>
  <cols>
    <col min="1" max="1" width="27.140625" bestFit="1" customWidth="1"/>
    <col min="2" max="2" width="14.7109375" bestFit="1" customWidth="1"/>
    <col min="3" max="3" width="14.7109375" customWidth="1"/>
    <col min="4" max="4" width="25.85546875" bestFit="1" customWidth="1"/>
    <col min="5" max="5" width="9" bestFit="1" customWidth="1"/>
    <col min="6" max="6" width="18.28515625" bestFit="1" customWidth="1"/>
    <col min="7" max="7" width="18.28515625" customWidth="1"/>
    <col min="8" max="8" width="19.140625" bestFit="1" customWidth="1"/>
    <col min="9" max="9" width="23.42578125" customWidth="1"/>
    <col min="10" max="10" width="16" customWidth="1"/>
    <col min="11" max="11" width="15.42578125" customWidth="1"/>
  </cols>
  <sheetData>
    <row r="1" spans="1:11" ht="75" x14ac:dyDescent="0.25">
      <c r="A1" s="122" t="s">
        <v>54</v>
      </c>
      <c r="B1" s="120" t="s">
        <v>65</v>
      </c>
      <c r="C1" s="120" t="s">
        <v>63</v>
      </c>
      <c r="D1" s="120" t="s">
        <v>63</v>
      </c>
      <c r="E1" s="121" t="s">
        <v>13</v>
      </c>
      <c r="I1" s="89" t="s">
        <v>16</v>
      </c>
      <c r="J1" s="89" t="s">
        <v>10</v>
      </c>
      <c r="K1" s="152" t="s">
        <v>23</v>
      </c>
    </row>
    <row r="2" spans="1:11" x14ac:dyDescent="0.25">
      <c r="I2" s="153">
        <v>1</v>
      </c>
      <c r="J2" s="153">
        <v>2</v>
      </c>
      <c r="K2" s="153">
        <v>3</v>
      </c>
    </row>
    <row r="3" spans="1:11" x14ac:dyDescent="0.25">
      <c r="B3" s="52">
        <v>4025</v>
      </c>
      <c r="C3" s="155"/>
      <c r="D3" t="e">
        <f>IF(AND('check your pension'!#REF!=$I$9,B3&lt;=2400),ROUND(B3*$K$3,2),IF(AND('check your pension'!#REF!=$I$9,B3&gt;2400,B3&lt;3851),(ROUND(2400*$K$3,2)+ROUND((B3-2400)*$K$4,2)),IF(AND('check your pension'!#REF!=$I$9,B3&gt;3850,B3&lt;4101),(ROUND(2400*$K$3,2)+ROUND((3850-2400)*$K$4,2)+ROUND((B3-3850)*$K$5,2)),IF(AND('check your pension'!#REF!=$I$9,B3&gt;3850),(ROUND(2400*$K$3,2)+ROUND((3850-2400)*$K$4,2)+ROUND((4100-3850)*$K$5,2)+ROUND((B3-4100)*$K$6,2))))))</f>
        <v>#REF!</v>
      </c>
      <c r="I3" s="86" t="s">
        <v>13</v>
      </c>
      <c r="J3" s="124">
        <v>2400</v>
      </c>
      <c r="K3" s="125">
        <v>6.7654999999999994</v>
      </c>
    </row>
    <row r="4" spans="1:11" x14ac:dyDescent="0.25">
      <c r="B4" s="52">
        <v>4370</v>
      </c>
      <c r="C4" s="155"/>
      <c r="D4" t="e">
        <f>IF(AND('check your pension'!#REF!=$I$9,B4&lt;=2400),ROUND(B4*$K$3,2),IF(AND('check your pension'!#REF!=$I$9,B4&gt;2400,B4&lt;3851),(ROUND(2400*$K$3,2)+ROUND((B4-2400)*$K$4,2)),IF(AND('check your pension'!#REF!=$I$9,B4&gt;3850,B4&lt;4101),(ROUND(2400*$K$3,2)+ROUND((3850-2400)*$K$4,2)+ROUND((B4-3850)*$K$5,2)),IF(AND('check your pension'!#REF!=$I$9,B4&gt;3850),(ROUND(2400*$K$3,2)+ROUND((3850-2400)*$K$4,2)+ROUND((4100-3850)*$K$5,2)+ROUND((B4-4100)*$K$6,2))))))</f>
        <v>#REF!</v>
      </c>
      <c r="I4" s="86" t="s">
        <v>13</v>
      </c>
      <c r="J4" s="124" t="s">
        <v>117</v>
      </c>
      <c r="K4" s="125">
        <v>5.6056999999999997</v>
      </c>
    </row>
    <row r="5" spans="1:11" x14ac:dyDescent="0.25">
      <c r="B5" s="52">
        <v>4850</v>
      </c>
      <c r="C5" s="155"/>
      <c r="D5" t="e">
        <f>IF(AND('check your pension'!#REF!=$I$9,B5&lt;=2400),ROUND(B5*$K$3,2),IF(AND('check your pension'!#REF!=$I$9,B5&gt;2400,B5&lt;3851),(ROUND(2400*$K$3,2)+ROUND((B5-2400)*$K$4,2)),IF(AND('check your pension'!#REF!=$I$9,B5&gt;3850,B5&lt;4101),(ROUND(2400*$K$3,2)+ROUND((3850-2400)*$K$4,2)+ROUND((B5-3850)*$K$5,2)),IF(AND('check your pension'!#REF!=$I$9,B5&gt;3850),(ROUND(2400*$K$3,2)+ROUND((3850-2400)*$K$4,2)+ROUND((4100-3850)*$K$5,2)+ROUND((B5-4100)*$K$6,2))))))</f>
        <v>#REF!</v>
      </c>
      <c r="I5" s="86" t="s">
        <v>33</v>
      </c>
      <c r="J5" s="124" t="s">
        <v>118</v>
      </c>
      <c r="K5" s="125">
        <v>3.2861000000000002</v>
      </c>
    </row>
    <row r="6" spans="1:11" x14ac:dyDescent="0.25">
      <c r="B6" s="52">
        <v>5225</v>
      </c>
      <c r="C6" s="155"/>
      <c r="D6" t="e">
        <f>IF(AND('check your pension'!#REF!=$I$9,B6&lt;=2400),ROUND(B6*$K$3,2),IF(AND('check your pension'!#REF!=$I$9,B6&gt;2400,B6&lt;3851),(ROUND(2400*$K$3,2)+ROUND((B6-2400)*$K$4,2)),IF(AND('check your pension'!#REF!=$I$9,B6&gt;3850,B6&lt;4101),(ROUND(2400*$K$3,2)+ROUND((3850-2400)*$K$4,2)+ROUND((B6-3850)*$K$5,2)),IF(AND('check your pension'!#REF!=$I$9,B6&gt;3850),(ROUND(2400*$K$3,2)+ROUND((3850-2400)*$K$4,2)+ROUND((4100-3850)*$K$5,2)+ROUND((B6-4100)*$K$6,2))))))</f>
        <v>#REF!</v>
      </c>
      <c r="I6" s="86" t="s">
        <v>13</v>
      </c>
      <c r="J6" s="124">
        <v>4101</v>
      </c>
      <c r="K6" s="126">
        <v>1.7397</v>
      </c>
    </row>
    <row r="7" spans="1:11" x14ac:dyDescent="0.25">
      <c r="B7" s="52">
        <v>5725</v>
      </c>
      <c r="C7" s="155"/>
      <c r="D7" t="e">
        <f>IF(AND('check your pension'!#REF!=$I$9,B7&lt;=2400),ROUND(B7*$K$3,2),IF(AND('check your pension'!#REF!=$I$9,B7&gt;2400,B7&lt;3851),(ROUND(2400*$K$3,2)+ROUND((B7-2400)*$K$4,2)),IF(AND('check your pension'!#REF!=$I$9,B7&gt;3850,B7&lt;4101),(ROUND(2400*$K$3,2)+ROUND((3850-2400)*$K$4,2)+ROUND((B7-3850)*$K$5,2)),IF(AND('check your pension'!#REF!=$I$9,B7&gt;3850),(ROUND(2400*$K$3,2)+ROUND((3850-2400)*$K$4,2)+ROUND((4100-3850)*$K$5,2)+ROUND((B7-4100)*$K$6,2))))))</f>
        <v>#REF!</v>
      </c>
    </row>
    <row r="8" spans="1:11" x14ac:dyDescent="0.25">
      <c r="B8" s="52">
        <v>6325</v>
      </c>
      <c r="C8" s="155"/>
      <c r="D8" t="e">
        <f>IF(AND('check your pension'!#REF!=$I$9,B8&lt;=2400),ROUND(B8*$K$3,2),IF(AND('check your pension'!#REF!=$I$9,B8&gt;2400,B8&lt;3851),(ROUND(2400*$K$3,2)+ROUND((B8-2400)*$K$4,2)),IF(AND('check your pension'!#REF!=$I$9,B8&gt;3850,B8&lt;4101),(ROUND(2400*$K$3,2)+ROUND((3850-2400)*$K$4,2)+ROUND((B8-3850)*$K$5,2)),IF(AND('check your pension'!#REF!=$I$9,B8&gt;3850),(ROUND(2400*$K$3,2)+ROUND((3850-2400)*$K$4,2)+ROUND((4100-3850)*$K$5,2)+ROUND((B8-4100)*$K$6,2))))))</f>
        <v>#REF!</v>
      </c>
      <c r="I8" s="86" t="s">
        <v>27</v>
      </c>
    </row>
    <row r="9" spans="1:11" x14ac:dyDescent="0.25">
      <c r="B9" s="52">
        <v>7000</v>
      </c>
      <c r="C9" s="155"/>
      <c r="D9" t="e">
        <f>IF(AND('check your pension'!#REF!=$I$9,B9&lt;=2400),ROUND(B9*$K$3,2),IF(AND('check your pension'!#REF!=$I$9,B9&gt;2400,B9&lt;3851),(ROUND(2400*$K$3,2)+ROUND((B9-2400)*$K$4,2)),IF(AND('check your pension'!#REF!=$I$9,B9&gt;3850,B9&lt;4101),(ROUND(2400*$K$3,2)+ROUND((3850-2400)*$K$4,2)+ROUND((B9-3850)*$K$5,2)),IF(AND('check your pension'!#REF!=$I$9,B9&gt;3850),(ROUND(2400*$K$3,2)+ROUND((3850-2400)*$K$4,2)+ROUND((4100-3850)*$K$5,2)+ROUND((B9-4100)*$K$6,2))))))</f>
        <v>#REF!</v>
      </c>
      <c r="I9" s="86" t="s">
        <v>33</v>
      </c>
    </row>
    <row r="10" spans="1:11" x14ac:dyDescent="0.25">
      <c r="D10" t="e">
        <f>IF(AND('check your pension'!#REF!=$I$9,B10&lt;=2400),ROUND(B10*$K$3,2),IF(AND('check your pension'!#REF!=$I$9,B10&gt;2400,B10&lt;3851),(ROUND(2400*$K$3,2)+ROUND((B10-2400)*$K$4,2)),IF(AND('check your pension'!#REF!=$I$9,B10&gt;3850,B10&lt;2131),(ROUND(2400*$K$3,2)+ROUND((3850-2400)*$K$4,2)+ROUND((B10-3850)*$K$5,2)),IF(AND('check your pension'!#REF!=$I$9,B10&gt;3850),(ROUND(2400*$K$3,2)+ROUND((3850-2400)*$K$4,2)+ROUND((2130-2000)*$K$5,2)+ROUND((B10-2130)*$K$6,2))))))</f>
        <v>#REF!</v>
      </c>
      <c r="I10" s="87" t="s">
        <v>37</v>
      </c>
    </row>
    <row r="11" spans="1:11" x14ac:dyDescent="0.25">
      <c r="I11" s="88" t="s">
        <v>43</v>
      </c>
    </row>
    <row r="12" spans="1:11" x14ac:dyDescent="0.25">
      <c r="I12" s="88" t="s">
        <v>46</v>
      </c>
    </row>
    <row r="13" spans="1:11" x14ac:dyDescent="0.25">
      <c r="B13" s="52">
        <v>2820</v>
      </c>
      <c r="C13" s="52"/>
      <c r="D13" s="53">
        <v>18591.593999999997</v>
      </c>
      <c r="I13" s="88" t="s">
        <v>48</v>
      </c>
    </row>
    <row r="14" spans="1:11" x14ac:dyDescent="0.25">
      <c r="B14" s="52">
        <v>4025</v>
      </c>
      <c r="C14" s="52"/>
      <c r="D14" s="53">
        <v>24940.532499999998</v>
      </c>
      <c r="I14" s="88" t="s">
        <v>50</v>
      </c>
    </row>
    <row r="15" spans="1:11" x14ac:dyDescent="0.25">
      <c r="B15" s="52">
        <v>4370</v>
      </c>
      <c r="C15" s="52"/>
      <c r="D15" s="53">
        <v>25656.708999999999</v>
      </c>
    </row>
    <row r="16" spans="1:11" x14ac:dyDescent="0.25">
      <c r="B16" s="52">
        <v>4850</v>
      </c>
      <c r="C16" s="52"/>
      <c r="D16" s="53">
        <v>26491.764999999999</v>
      </c>
    </row>
    <row r="17" spans="2:4" x14ac:dyDescent="0.25">
      <c r="B17" s="52">
        <v>5225</v>
      </c>
      <c r="C17" s="52"/>
      <c r="D17" s="53">
        <v>27144.152499999997</v>
      </c>
    </row>
    <row r="18" spans="2:4" x14ac:dyDescent="0.25">
      <c r="B18" s="52">
        <v>5725</v>
      </c>
      <c r="C18" s="52"/>
      <c r="D18" s="53">
        <v>28014.002499999999</v>
      </c>
    </row>
    <row r="19" spans="2:4" x14ac:dyDescent="0.25">
      <c r="B19" s="52">
        <v>6325</v>
      </c>
      <c r="C19" s="52"/>
      <c r="D19" s="53">
        <v>29057.822499999998</v>
      </c>
    </row>
    <row r="20" spans="2:4" x14ac:dyDescent="0.25">
      <c r="B20" s="52">
        <v>7000</v>
      </c>
      <c r="C20" s="52"/>
      <c r="D20" s="53">
        <v>30232.12</v>
      </c>
    </row>
  </sheetData>
  <sheetProtection algorithmName="SHA-512" hashValue="KHGefwKYmGiZ/4mGkfbmr6HGV/iLYQSzvjIDSfModqjFbuWV6MdwkS3+Z9CoNltKNaoJV8rsEXxKL+Wx+Hl3uQ==" saltValue="ueZLkUS/TOrVZk9+6+Nkf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5ECF-A6DF-43DB-98D1-3FEB00D9ED4E}">
  <dimension ref="A1:K10"/>
  <sheetViews>
    <sheetView workbookViewId="0">
      <selection activeCell="A2" sqref="A2:D2"/>
    </sheetView>
  </sheetViews>
  <sheetFormatPr defaultRowHeight="15" x14ac:dyDescent="0.25"/>
  <cols>
    <col min="1" max="1" width="27.140625" bestFit="1" customWidth="1"/>
    <col min="2" max="2" width="14.7109375" bestFit="1" customWidth="1"/>
    <col min="3" max="3" width="14.7109375" customWidth="1"/>
    <col min="4" max="4" width="25.85546875" bestFit="1" customWidth="1"/>
    <col min="5" max="5" width="9" bestFit="1" customWidth="1"/>
    <col min="6" max="6" width="18.28515625" bestFit="1" customWidth="1"/>
    <col min="7" max="7" width="18.28515625" customWidth="1"/>
    <col min="8" max="8" width="19.140625" bestFit="1" customWidth="1"/>
    <col min="9" max="9" width="27.7109375" customWidth="1"/>
    <col min="10" max="10" width="36.7109375" customWidth="1"/>
    <col min="11" max="11" width="26.85546875" customWidth="1"/>
  </cols>
  <sheetData>
    <row r="1" spans="1:11" ht="45" x14ac:dyDescent="0.25">
      <c r="A1" s="75" t="s">
        <v>116</v>
      </c>
      <c r="I1" s="11" t="s">
        <v>16</v>
      </c>
      <c r="J1" s="89" t="s">
        <v>10</v>
      </c>
      <c r="K1" s="10" t="s">
        <v>23</v>
      </c>
    </row>
    <row r="2" spans="1:11" x14ac:dyDescent="0.25">
      <c r="I2" s="118">
        <v>1</v>
      </c>
      <c r="J2" s="118">
        <v>2</v>
      </c>
      <c r="K2" s="154">
        <v>3</v>
      </c>
    </row>
    <row r="3" spans="1:11" x14ac:dyDescent="0.25">
      <c r="B3" s="56">
        <v>6270</v>
      </c>
      <c r="C3" s="3"/>
      <c r="D3" t="e">
        <f>IF(AND('check your pension'!#REF!=$I$8,B3&lt;=3550),ROUND(B3*$K$3,2),IF(AND('check your pension'!#REF!=$I$8,B3&gt;3550,B3&lt;5651),(ROUND(3550*$K$3,2)+ROUND((B3-3550)*$K$4,2)),IF(AND('check your pension'!#REF!=$I$8,B3&gt;5650,B3&lt;6011),(ROUND(3550*$K$3,2)+ROUND((5650-3550)*$K$4,2)+ROUND((B3-5650)*K6,2)),IF(AND('check your pension'!#REF!=$I$8,B3&gt;6010),(ROUND(3550*$K$3,2)+ROUND((5650-3550)*$K$4,2)+ROUND((6010-5650)*$K$5,2)+ROUND((B3-6010)*$K$6,2))))))</f>
        <v>#REF!</v>
      </c>
      <c r="I3" s="87" t="s">
        <v>37</v>
      </c>
      <c r="J3" s="124">
        <v>3550</v>
      </c>
      <c r="K3" s="125">
        <v>4.3175999999999997</v>
      </c>
    </row>
    <row r="4" spans="1:11" x14ac:dyDescent="0.25">
      <c r="B4" s="56">
        <v>6780</v>
      </c>
      <c r="C4" s="3"/>
      <c r="D4" t="e">
        <f>IF(AND('check your pension'!#REF!=$I$8,B4&lt;=3550),ROUND(B4*$K$3,2),IF(AND('check your pension'!#REF!=$I$8,B4&gt;3550,B4&lt;5651),(ROUND(3550*$K$3,2)+ROUND((B4-3550)*$K$4,2)),IF(AND('check your pension'!#REF!=$I$8,B4&gt;5650,B4&lt;6011),(ROUND(3550*$K$3,2)+ROUND((5650-3550)*$K$4,2)+ROUND((B4-5650)*K7,2)),IF(AND('check your pension'!#REF!=$I$8,B4&gt;6010),(ROUND(3550*$K$3,2)+ROUND((5650-3550)*$K$4,2)+ROUND((6010-5650)*$K$5,2)+ROUND((B4-6010)*$K$6,2))))))</f>
        <v>#REF!</v>
      </c>
      <c r="I4" s="86"/>
      <c r="J4" s="124" t="s">
        <v>119</v>
      </c>
      <c r="K4" s="125">
        <v>3.5980000000000003</v>
      </c>
    </row>
    <row r="5" spans="1:11" x14ac:dyDescent="0.25">
      <c r="B5" s="56">
        <v>7500</v>
      </c>
      <c r="C5" s="3"/>
      <c r="D5" t="e">
        <f>IF(AND('check your pension'!#REF!=$I$8,B5&lt;=3550),ROUND(B5*$K$3,2),IF(AND('check your pension'!#REF!=$I$8,B5&gt;3550,B5&lt;5651),(ROUND(3550*$K$3,2)+ROUND((B5-3550)*$K$4,2)),IF(AND('check your pension'!#REF!=$I$8,B5&gt;5650,B5&lt;6011),(ROUND(3550*$K$3,2)+ROUND((5650-3550)*$K$4,2)+ROUND((B5-5650)*K8,2)),IF(AND('check your pension'!#REF!=$I$8,B5&gt;6010),(ROUND(3550*$K$3,2)+ROUND((5650-3550)*$K$4,2)+ROUND((6010-5650)*$K$5,2)+ROUND((B5-6010)*$K$6,2))))))</f>
        <v>#REF!</v>
      </c>
      <c r="I5" s="86"/>
      <c r="J5" s="124" t="s">
        <v>120</v>
      </c>
      <c r="K5" s="125">
        <v>2.1587999999999998</v>
      </c>
    </row>
    <row r="6" spans="1:11" x14ac:dyDescent="0.25">
      <c r="B6" s="56">
        <v>8070</v>
      </c>
      <c r="C6" s="3"/>
      <c r="D6" t="e">
        <f>IF(AND('check your pension'!#REF!=$I$8,B6&lt;=3550),ROUND(B6*$K$3,2),IF(AND('check your pension'!#REF!=$I$8,B6&gt;3550,B6&lt;5651),(ROUND(3550*$K$3,2)+ROUND((B6-3550)*$K$4,2)),IF(AND('check your pension'!#REF!=$I$8,B6&gt;5650,B6&lt;6011),(ROUND(3550*$K$3,2)+ROUND((5650-3550)*$K$4,2)+ROUND((B6-5650)*J9,2)),IF(AND('check your pension'!#REF!=$I$8,B6&gt;6010),(ROUND(3550*$K$3,2)+ROUND((5650-3550)*$K$4,2)+ROUND((6010-5650)*$K$5,2)+ROUND((B6-6010)*$K$6,2))))))</f>
        <v>#REF!</v>
      </c>
      <c r="I6" s="86"/>
      <c r="J6" s="124">
        <v>6011</v>
      </c>
      <c r="K6" s="126">
        <v>1.0793999999999999</v>
      </c>
    </row>
    <row r="7" spans="1:11" x14ac:dyDescent="0.25">
      <c r="B7" s="56">
        <v>8830</v>
      </c>
      <c r="C7" s="3"/>
      <c r="D7" t="e">
        <f>IF(AND('check your pension'!#REF!=$I$8,B7&lt;=3550),ROUND(B7*$K$3,2),IF(AND('check your pension'!#REF!=$I$8,B7&gt;3550,B7&lt;5651),(ROUND(3550*$K$3,2)+ROUND((B7-3550)*$K$4,2)),IF(AND('check your pension'!#REF!=$I$8,B7&gt;5650,B7&lt;6011),(ROUND(3550*$K$3,2)+ROUND((5650-3550)*$K$4,2)+ROUND((B7-5650)*G10,2)),IF(AND('check your pension'!#REF!=$I$8,B7&gt;6010),(ROUND(3550*$K$3,2)+ROUND((5650-3550)*$K$4,2)+ROUND((6010-5650)*$K$5,2)+ROUND((B7-6010)*$K$6,2))))))</f>
        <v>#REF!</v>
      </c>
      <c r="I7" s="86"/>
      <c r="J7" s="124"/>
      <c r="K7" s="125"/>
    </row>
    <row r="8" spans="1:11" x14ac:dyDescent="0.25">
      <c r="B8" s="56">
        <v>9670</v>
      </c>
      <c r="C8" s="3"/>
      <c r="D8" t="e">
        <f>IF(AND('check your pension'!#REF!=$I$8,B8&lt;=3550),ROUND(B8*$K$3,2),IF(AND('check your pension'!#REF!=$I$8,B8&gt;3550,B8&lt;5651),(ROUND(3550*$K$3,2)+ROUND((B8-3550)*$K$4,2)),IF(AND('check your pension'!#REF!=$I$8,B8&gt;5650,B8&lt;6011),(ROUND(3550*$K$3,2)+ROUND((5650-3550)*$K$4,2)+ROUND((B8-5650)*G11,2)),IF(AND('check your pension'!#REF!=$I$8,B8&gt;6010),(ROUND(3550*$K$3,2)+ROUND((5650-3550)*$K$4,2)+ROUND((6010-5650)*$K$5,2)+ROUND((B8-6010)*$K$6,2))))))</f>
        <v>#REF!</v>
      </c>
      <c r="I8" s="87" t="s">
        <v>37</v>
      </c>
      <c r="J8" s="123"/>
      <c r="K8" s="123"/>
    </row>
    <row r="9" spans="1:11" x14ac:dyDescent="0.25">
      <c r="B9" s="56">
        <v>10650</v>
      </c>
      <c r="C9" s="3"/>
      <c r="D9" t="e">
        <f>IF(AND('check your pension'!#REF!=$I$8,B9&lt;=3550),ROUND(B9*$K$3,2),IF(AND('check your pension'!#REF!=$I$8,B9&gt;3550,B9&lt;5651),(ROUND(3550*$K$3,2)+ROUND((B9-3550)*$K$4,2)),IF(AND('check your pension'!#REF!=$I$8,B9&gt;5650,B9&lt;6011),(ROUND(3550*$K$3,2)+ROUND((5650-3550)*$K$4,2)+ROUND((B9-5650)*D12,2)),IF(AND('check your pension'!#REF!=$I$8,B9&gt;6010),(ROUND(3550*$K$3,2)+ROUND((5650-3550)*$K$4,2)+ROUND((6010-5650)*$K$5,2)+ROUND((B9-6010)*$K$6,2))))))</f>
        <v>#REF!</v>
      </c>
      <c r="H9" s="86"/>
    </row>
    <row r="10" spans="1:11" x14ac:dyDescent="0.25">
      <c r="D10" t="e">
        <f>IF(AND('check your pension'!#REF!=$I$8,B10&lt;=3550),ROUND(B10*$K$3,2),IF(AND('check your pension'!#REF!=$I$8,B10&gt;3550,B10&lt;5651),(ROUND(3550*$K$3,2)+ROUND((B10-3550)*$K$4,2)),IF(AND('check your pension'!#REF!=$I$8,B10&gt;5650,B10&lt;6011),(ROUND(3550*$K$3,2)+ROUND((5650-3550)*$K$4,2)+ROUND((B10-5650)*D13,2)),IF(AND('check your pension'!#REF!=$I$8,B10&gt;6010),(ROUND(3550*$K$3,2)+ROUND((5650-3550)*$K$4,2)+ROUND((6010-5650)*$K$5,2)+ROUND((B10-6010)*$K$6,2))))))</f>
        <v>#REF!</v>
      </c>
    </row>
  </sheetData>
  <sheetProtection algorithmName="SHA-512" hashValue="r/K2TvX0oU+6qXVFCj2Zr0LzUH7KYEv2Nm8gWJEBZ7+jmlNnJdFs94zOaWxUdyG76o0Dl0U8ns5i3MuVqtXiRQ==" saltValue="T4iWwBe1vIwe2yRpzg1mN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B7FB-D048-40D8-9E01-2D8ECFED5CC8}">
  <sheetPr>
    <pageSetUpPr fitToPage="1"/>
  </sheetPr>
  <dimension ref="A1:U96"/>
  <sheetViews>
    <sheetView topLeftCell="A40" workbookViewId="0">
      <selection activeCell="T76" sqref="T76"/>
    </sheetView>
  </sheetViews>
  <sheetFormatPr defaultRowHeight="15" x14ac:dyDescent="0.25"/>
  <cols>
    <col min="1" max="1" width="11.28515625" customWidth="1"/>
    <col min="2" max="2" width="15.42578125" customWidth="1"/>
    <col min="3" max="3" width="15" customWidth="1"/>
    <col min="4" max="4" width="12" customWidth="1"/>
    <col min="5" max="5" width="13" customWidth="1"/>
    <col min="6" max="6" width="10.85546875" customWidth="1"/>
    <col min="7" max="7" width="11.28515625" customWidth="1"/>
    <col min="8" max="8" width="13.7109375" customWidth="1"/>
    <col min="10" max="10" width="13.85546875" customWidth="1"/>
    <col min="12" max="12" width="10.5703125" bestFit="1" customWidth="1"/>
    <col min="17" max="17" width="13.5703125" customWidth="1"/>
    <col min="18" max="18" width="14.140625" customWidth="1"/>
    <col min="19" max="19" width="12.5703125" bestFit="1" customWidth="1"/>
  </cols>
  <sheetData>
    <row r="1" spans="1:21" ht="19.5" thickBot="1" x14ac:dyDescent="0.3">
      <c r="A1" s="231" t="s">
        <v>58</v>
      </c>
      <c r="B1" s="232"/>
      <c r="C1" s="232"/>
      <c r="D1" s="232"/>
      <c r="E1" s="232"/>
      <c r="F1" s="232"/>
      <c r="G1" s="233"/>
    </row>
    <row r="2" spans="1:21" x14ac:dyDescent="0.25">
      <c r="A2" s="234" t="s">
        <v>59</v>
      </c>
      <c r="B2" s="235"/>
      <c r="C2" s="235"/>
      <c r="D2" s="235"/>
      <c r="E2" s="235"/>
      <c r="F2" s="235"/>
      <c r="G2" s="236"/>
    </row>
    <row r="3" spans="1:21" ht="15.75" thickBot="1" x14ac:dyDescent="0.3">
      <c r="A3" s="237"/>
      <c r="B3" s="238"/>
      <c r="C3" s="238"/>
      <c r="D3" s="238"/>
      <c r="E3" s="238"/>
      <c r="F3" s="238"/>
      <c r="G3" s="239"/>
    </row>
    <row r="4" spans="1:21" x14ac:dyDescent="0.25">
      <c r="A4" s="68"/>
      <c r="B4" s="68"/>
      <c r="C4" s="68"/>
      <c r="D4" s="68"/>
      <c r="E4" s="68"/>
      <c r="F4" s="68"/>
      <c r="G4" s="68"/>
    </row>
    <row r="5" spans="1:21" ht="15.75" x14ac:dyDescent="0.25">
      <c r="A5" s="191" t="s">
        <v>162</v>
      </c>
      <c r="B5" s="68"/>
      <c r="C5" s="68"/>
      <c r="D5" s="68"/>
      <c r="E5" s="68"/>
      <c r="F5" s="68"/>
      <c r="G5" s="68"/>
    </row>
    <row r="6" spans="1:21" ht="30" x14ac:dyDescent="0.3">
      <c r="A6" s="230" t="s">
        <v>54</v>
      </c>
      <c r="B6" s="230"/>
      <c r="C6" s="65" t="s">
        <v>169</v>
      </c>
      <c r="D6" s="197" t="s">
        <v>170</v>
      </c>
      <c r="E6" s="195" t="s">
        <v>168</v>
      </c>
      <c r="F6" s="64" t="s">
        <v>53</v>
      </c>
      <c r="G6" s="65" t="s">
        <v>57</v>
      </c>
      <c r="P6" s="229" t="s">
        <v>155</v>
      </c>
      <c r="Q6" s="229"/>
      <c r="R6" s="229"/>
      <c r="S6" s="229"/>
      <c r="T6" s="183">
        <v>6352</v>
      </c>
      <c r="U6" s="178">
        <v>0.44240000000000002</v>
      </c>
    </row>
    <row r="7" spans="1:21" ht="30" customHeight="1" x14ac:dyDescent="0.25">
      <c r="A7" s="228" t="s">
        <v>56</v>
      </c>
      <c r="B7" s="228"/>
      <c r="C7" s="63">
        <v>8881</v>
      </c>
      <c r="D7" s="195">
        <v>600</v>
      </c>
      <c r="E7" s="167">
        <v>0.67</v>
      </c>
      <c r="F7" s="63">
        <v>2070</v>
      </c>
      <c r="G7" s="67">
        <v>13.869</v>
      </c>
      <c r="K7" s="178">
        <v>0.44240000000000002</v>
      </c>
      <c r="P7" s="185">
        <f>6352-D7</f>
        <v>5752</v>
      </c>
      <c r="Q7" s="185">
        <f>P7/4</f>
        <v>1438</v>
      </c>
      <c r="R7" s="186">
        <f>Q7*0.67</f>
        <v>963.46</v>
      </c>
    </row>
    <row r="8" spans="1:21" x14ac:dyDescent="0.25">
      <c r="A8" s="48" t="s">
        <v>14</v>
      </c>
      <c r="B8" s="49" t="s">
        <v>10</v>
      </c>
      <c r="C8" s="48" t="s">
        <v>11</v>
      </c>
      <c r="D8" s="48" t="s">
        <v>1</v>
      </c>
      <c r="E8" s="48" t="s">
        <v>12</v>
      </c>
      <c r="F8" s="48" t="s">
        <v>1</v>
      </c>
      <c r="G8" s="50" t="s">
        <v>0</v>
      </c>
      <c r="H8" s="179" t="s">
        <v>150</v>
      </c>
      <c r="I8" s="48" t="s">
        <v>151</v>
      </c>
      <c r="J8" s="48" t="s">
        <v>152</v>
      </c>
      <c r="K8" s="48" t="s">
        <v>113</v>
      </c>
      <c r="L8" s="48" t="s">
        <v>1</v>
      </c>
      <c r="M8" s="48" t="s">
        <v>153</v>
      </c>
      <c r="N8" s="48" t="s">
        <v>154</v>
      </c>
      <c r="P8" s="75" t="s">
        <v>157</v>
      </c>
      <c r="Q8" s="48" t="s">
        <v>156</v>
      </c>
      <c r="R8" s="184" t="s">
        <v>158</v>
      </c>
      <c r="S8" s="179" t="s">
        <v>110</v>
      </c>
      <c r="T8" s="75" t="s">
        <v>153</v>
      </c>
      <c r="U8" s="75" t="s">
        <v>159</v>
      </c>
    </row>
    <row r="9" spans="1:21" x14ac:dyDescent="0.25">
      <c r="A9" s="51" t="s">
        <v>2</v>
      </c>
      <c r="B9" s="52">
        <v>1430</v>
      </c>
      <c r="C9" s="57">
        <v>19385.550000000003</v>
      </c>
      <c r="D9" s="58">
        <f>B9+C9</f>
        <v>20815.550000000003</v>
      </c>
      <c r="E9" s="53">
        <f t="shared" ref="E9:E16" si="0">B9*$G$7</f>
        <v>19832.669999999998</v>
      </c>
      <c r="F9" s="53">
        <f>B9+E9</f>
        <v>21262.67</v>
      </c>
      <c r="G9" s="54">
        <f>F9-D9</f>
        <v>447.11999999999534</v>
      </c>
      <c r="H9" s="180">
        <f>G9/D9*100</f>
        <v>2.1480095409441273</v>
      </c>
      <c r="I9" s="75">
        <v>11.7</v>
      </c>
      <c r="J9" s="181">
        <f>B9*I9</f>
        <v>16731</v>
      </c>
      <c r="K9" s="182">
        <f>J9*$K$7</f>
        <v>7401.7944000000007</v>
      </c>
      <c r="L9" s="182">
        <f>J9+K9</f>
        <v>24132.794399999999</v>
      </c>
      <c r="M9" s="182">
        <f>L9-F9</f>
        <v>2870.1244000000006</v>
      </c>
      <c r="N9" s="182">
        <f>M9/F9*100</f>
        <v>13.498419530566954</v>
      </c>
      <c r="P9" s="75">
        <v>963.46</v>
      </c>
      <c r="Q9" s="181">
        <f>B9+(B9*P9/100)</f>
        <v>15207.478000000001</v>
      </c>
      <c r="R9" s="182">
        <f t="shared" ref="R9:R16" si="1">Q9*$U$6</f>
        <v>6727.7882672000005</v>
      </c>
      <c r="S9" s="182">
        <f>Q9+R9</f>
        <v>21935.266267200001</v>
      </c>
      <c r="T9" s="182">
        <f>S9-F9</f>
        <v>672.59626720000233</v>
      </c>
      <c r="U9" s="182">
        <f>T9/F9*100</f>
        <v>3.1632728495527722</v>
      </c>
    </row>
    <row r="10" spans="1:21" x14ac:dyDescent="0.25">
      <c r="A10" s="51" t="s">
        <v>3</v>
      </c>
      <c r="B10" s="52">
        <v>2010</v>
      </c>
      <c r="C10" s="57">
        <v>25943.310000000005</v>
      </c>
      <c r="D10" s="58">
        <f t="shared" ref="D10:D16" si="2">B10+C10</f>
        <v>27953.310000000005</v>
      </c>
      <c r="E10" s="53">
        <f t="shared" si="0"/>
        <v>27876.69</v>
      </c>
      <c r="F10" s="53">
        <f t="shared" ref="F10:F16" si="3">B10+E10</f>
        <v>29886.69</v>
      </c>
      <c r="G10" s="54">
        <f t="shared" ref="G10:G16" si="4">F10-D10</f>
        <v>1933.3799999999937</v>
      </c>
      <c r="H10" s="180">
        <f t="shared" ref="H10:H16" si="5">G10/D10*100</f>
        <v>6.9164617714324113</v>
      </c>
      <c r="I10" s="75">
        <v>11.7</v>
      </c>
      <c r="J10" s="181">
        <f t="shared" ref="J10:J16" si="6">B10*I10</f>
        <v>23517</v>
      </c>
      <c r="K10" s="182">
        <f t="shared" ref="K10:K16" si="7">J10*$K$7</f>
        <v>10403.9208</v>
      </c>
      <c r="L10" s="182">
        <f t="shared" ref="L10:L16" si="8">J10+K10</f>
        <v>33920.9208</v>
      </c>
      <c r="M10" s="182">
        <f t="shared" ref="M10:M16" si="9">L10-F10</f>
        <v>4034.2308000000012</v>
      </c>
      <c r="N10" s="182">
        <f t="shared" ref="N10:N16" si="10">M10/F10*100</f>
        <v>13.498419530566954</v>
      </c>
      <c r="P10" s="75">
        <v>963.46</v>
      </c>
      <c r="Q10" s="181">
        <f t="shared" ref="Q10:Q16" si="11">B10+(B10*P10/100)</f>
        <v>21375.546000000002</v>
      </c>
      <c r="R10" s="182">
        <f t="shared" si="1"/>
        <v>9456.5415504000011</v>
      </c>
      <c r="S10" s="182">
        <f t="shared" ref="S10:S16" si="12">Q10+R10</f>
        <v>30832.087550400003</v>
      </c>
      <c r="T10" s="182">
        <f t="shared" ref="T10:T16" si="13">S10-F10</f>
        <v>945.39755040000455</v>
      </c>
      <c r="U10" s="182">
        <f t="shared" ref="U10:U16" si="14">T10/F10*100</f>
        <v>3.1632728495527762</v>
      </c>
    </row>
    <row r="11" spans="1:21" x14ac:dyDescent="0.25">
      <c r="A11" s="51" t="s">
        <v>4</v>
      </c>
      <c r="B11" s="52">
        <v>2195</v>
      </c>
      <c r="C11" s="57">
        <v>26991.765000000003</v>
      </c>
      <c r="D11" s="58">
        <f t="shared" si="2"/>
        <v>29186.765000000003</v>
      </c>
      <c r="E11" s="53">
        <f t="shared" si="0"/>
        <v>30442.454999999998</v>
      </c>
      <c r="F11" s="53">
        <f t="shared" si="3"/>
        <v>32637.454999999998</v>
      </c>
      <c r="G11" s="54">
        <f t="shared" si="4"/>
        <v>3450.6899999999951</v>
      </c>
      <c r="H11" s="180">
        <f t="shared" si="5"/>
        <v>11.822790227008696</v>
      </c>
      <c r="I11" s="75">
        <v>11.7</v>
      </c>
      <c r="J11" s="181">
        <f t="shared" si="6"/>
        <v>25681.5</v>
      </c>
      <c r="K11" s="182">
        <f t="shared" si="7"/>
        <v>11361.4956</v>
      </c>
      <c r="L11" s="182">
        <f t="shared" si="8"/>
        <v>37042.995600000002</v>
      </c>
      <c r="M11" s="182">
        <f t="shared" si="9"/>
        <v>4405.5406000000039</v>
      </c>
      <c r="N11" s="182">
        <f t="shared" si="10"/>
        <v>13.498419530566963</v>
      </c>
      <c r="P11" s="75">
        <v>963.46</v>
      </c>
      <c r="Q11" s="181">
        <f t="shared" si="11"/>
        <v>23342.947</v>
      </c>
      <c r="R11" s="182">
        <f t="shared" si="1"/>
        <v>10326.9197528</v>
      </c>
      <c r="S11" s="182">
        <f t="shared" si="12"/>
        <v>33669.866752800001</v>
      </c>
      <c r="T11" s="182">
        <f t="shared" si="13"/>
        <v>1032.4117528000024</v>
      </c>
      <c r="U11" s="182">
        <f t="shared" si="14"/>
        <v>3.1632728495527687</v>
      </c>
    </row>
    <row r="12" spans="1:21" x14ac:dyDescent="0.25">
      <c r="A12" s="51" t="s">
        <v>5</v>
      </c>
      <c r="B12" s="52">
        <v>2455</v>
      </c>
      <c r="C12" s="57">
        <v>27906.705000000002</v>
      </c>
      <c r="D12" s="58">
        <f t="shared" si="2"/>
        <v>30361.705000000002</v>
      </c>
      <c r="E12" s="53">
        <f t="shared" si="0"/>
        <v>34048.394999999997</v>
      </c>
      <c r="F12" s="53">
        <f t="shared" si="3"/>
        <v>36503.394999999997</v>
      </c>
      <c r="G12" s="54">
        <f t="shared" si="4"/>
        <v>6141.6899999999951</v>
      </c>
      <c r="H12" s="180">
        <f t="shared" si="5"/>
        <v>20.228409438797968</v>
      </c>
      <c r="I12" s="75">
        <v>11.7</v>
      </c>
      <c r="J12" s="181">
        <f t="shared" si="6"/>
        <v>28723.5</v>
      </c>
      <c r="K12" s="182">
        <f t="shared" si="7"/>
        <v>12707.276400000001</v>
      </c>
      <c r="L12" s="182">
        <f t="shared" si="8"/>
        <v>41430.776400000002</v>
      </c>
      <c r="M12" s="182">
        <f t="shared" si="9"/>
        <v>4927.3814000000057</v>
      </c>
      <c r="N12" s="182">
        <f t="shared" si="10"/>
        <v>13.498419530566968</v>
      </c>
      <c r="P12" s="75">
        <v>963.46</v>
      </c>
      <c r="Q12" s="181">
        <f t="shared" si="11"/>
        <v>26107.943000000003</v>
      </c>
      <c r="R12" s="182">
        <f t="shared" si="1"/>
        <v>11550.153983200002</v>
      </c>
      <c r="S12" s="182">
        <f t="shared" si="12"/>
        <v>37658.096983200005</v>
      </c>
      <c r="T12" s="182">
        <f t="shared" si="13"/>
        <v>1154.7019832000078</v>
      </c>
      <c r="U12" s="182">
        <f t="shared" si="14"/>
        <v>3.1632728495527824</v>
      </c>
    </row>
    <row r="13" spans="1:21" x14ac:dyDescent="0.25">
      <c r="A13" s="51" t="s">
        <v>6</v>
      </c>
      <c r="B13" s="52">
        <v>2675</v>
      </c>
      <c r="C13" s="57">
        <v>28680.885000000002</v>
      </c>
      <c r="D13" s="58">
        <f t="shared" si="2"/>
        <v>31355.885000000002</v>
      </c>
      <c r="E13" s="53">
        <f t="shared" si="0"/>
        <v>37099.574999999997</v>
      </c>
      <c r="F13" s="53">
        <f t="shared" si="3"/>
        <v>39774.574999999997</v>
      </c>
      <c r="G13" s="54">
        <f t="shared" si="4"/>
        <v>8418.6899999999951</v>
      </c>
      <c r="H13" s="180">
        <f t="shared" si="5"/>
        <v>26.848835553517286</v>
      </c>
      <c r="I13" s="75">
        <v>11.7</v>
      </c>
      <c r="J13" s="181">
        <f t="shared" si="6"/>
        <v>31297.499999999996</v>
      </c>
      <c r="K13" s="182">
        <f t="shared" si="7"/>
        <v>13846.013999999999</v>
      </c>
      <c r="L13" s="182">
        <f t="shared" si="8"/>
        <v>45143.513999999996</v>
      </c>
      <c r="M13" s="182">
        <f t="shared" si="9"/>
        <v>5368.9389999999985</v>
      </c>
      <c r="N13" s="182">
        <f t="shared" si="10"/>
        <v>13.498419530566949</v>
      </c>
      <c r="P13" s="75">
        <v>963.46</v>
      </c>
      <c r="Q13" s="181">
        <f t="shared" si="11"/>
        <v>28447.555</v>
      </c>
      <c r="R13" s="182">
        <f t="shared" si="1"/>
        <v>12585.198332</v>
      </c>
      <c r="S13" s="182">
        <f t="shared" si="12"/>
        <v>41032.753332</v>
      </c>
      <c r="T13" s="182">
        <f t="shared" si="13"/>
        <v>1258.1783320000031</v>
      </c>
      <c r="U13" s="182">
        <f t="shared" si="14"/>
        <v>3.1632728495527687</v>
      </c>
    </row>
    <row r="14" spans="1:21" x14ac:dyDescent="0.25">
      <c r="A14" s="51" t="s">
        <v>7</v>
      </c>
      <c r="B14" s="52">
        <v>2975</v>
      </c>
      <c r="C14" s="57">
        <v>29736.585000000003</v>
      </c>
      <c r="D14" s="58">
        <f t="shared" si="2"/>
        <v>32711.585000000003</v>
      </c>
      <c r="E14" s="53">
        <f t="shared" si="0"/>
        <v>41260.275000000001</v>
      </c>
      <c r="F14" s="53">
        <f t="shared" si="3"/>
        <v>44235.275000000001</v>
      </c>
      <c r="G14" s="54">
        <f t="shared" si="4"/>
        <v>11523.689999999999</v>
      </c>
      <c r="H14" s="180">
        <f t="shared" si="5"/>
        <v>35.228161521369259</v>
      </c>
      <c r="I14" s="75">
        <v>11.7</v>
      </c>
      <c r="J14" s="181">
        <f t="shared" si="6"/>
        <v>34807.5</v>
      </c>
      <c r="K14" s="182">
        <f t="shared" si="7"/>
        <v>15398.838</v>
      </c>
      <c r="L14" s="182">
        <f t="shared" si="8"/>
        <v>50206.338000000003</v>
      </c>
      <c r="M14" s="182">
        <f t="shared" si="9"/>
        <v>5971.0630000000019</v>
      </c>
      <c r="N14" s="182">
        <f t="shared" si="10"/>
        <v>13.498419530566954</v>
      </c>
      <c r="P14" s="75">
        <v>963.46</v>
      </c>
      <c r="Q14" s="181">
        <f t="shared" si="11"/>
        <v>31637.935000000001</v>
      </c>
      <c r="R14" s="182">
        <f t="shared" si="1"/>
        <v>13996.622444000001</v>
      </c>
      <c r="S14" s="182">
        <f t="shared" si="12"/>
        <v>45634.557444000005</v>
      </c>
      <c r="T14" s="182">
        <f t="shared" si="13"/>
        <v>1399.282444000004</v>
      </c>
      <c r="U14" s="182">
        <f t="shared" si="14"/>
        <v>3.16327284955277</v>
      </c>
    </row>
    <row r="15" spans="1:21" x14ac:dyDescent="0.25">
      <c r="A15" s="51" t="s">
        <v>8</v>
      </c>
      <c r="B15" s="52">
        <v>3275</v>
      </c>
      <c r="C15" s="57">
        <v>30792.285000000003</v>
      </c>
      <c r="D15" s="58">
        <f t="shared" si="2"/>
        <v>34067.285000000003</v>
      </c>
      <c r="E15" s="53">
        <f t="shared" si="0"/>
        <v>45420.974999999999</v>
      </c>
      <c r="F15" s="53">
        <f t="shared" si="3"/>
        <v>48695.974999999999</v>
      </c>
      <c r="G15" s="54">
        <f t="shared" si="4"/>
        <v>14628.689999999995</v>
      </c>
      <c r="H15" s="180">
        <f t="shared" si="5"/>
        <v>42.940580677327219</v>
      </c>
      <c r="I15" s="75">
        <v>11.7</v>
      </c>
      <c r="J15" s="181">
        <f t="shared" si="6"/>
        <v>38317.5</v>
      </c>
      <c r="K15" s="182">
        <f t="shared" si="7"/>
        <v>16951.662</v>
      </c>
      <c r="L15" s="182">
        <f t="shared" si="8"/>
        <v>55269.161999999997</v>
      </c>
      <c r="M15" s="182">
        <f t="shared" si="9"/>
        <v>6573.1869999999981</v>
      </c>
      <c r="N15" s="182">
        <f t="shared" si="10"/>
        <v>13.498419530566949</v>
      </c>
      <c r="P15" s="75">
        <v>963.46</v>
      </c>
      <c r="Q15" s="181">
        <f t="shared" si="11"/>
        <v>34828.315000000002</v>
      </c>
      <c r="R15" s="182">
        <f t="shared" si="1"/>
        <v>15408.046556000001</v>
      </c>
      <c r="S15" s="182">
        <f t="shared" si="12"/>
        <v>50236.361556000003</v>
      </c>
      <c r="T15" s="182">
        <f t="shared" si="13"/>
        <v>1540.3865560000049</v>
      </c>
      <c r="U15" s="182">
        <f t="shared" si="14"/>
        <v>3.1632728495527709</v>
      </c>
    </row>
    <row r="16" spans="1:21" x14ac:dyDescent="0.25">
      <c r="A16" s="51" t="s">
        <v>9</v>
      </c>
      <c r="B16" s="52">
        <v>3500</v>
      </c>
      <c r="C16" s="57">
        <v>31584.06</v>
      </c>
      <c r="D16" s="58">
        <f t="shared" si="2"/>
        <v>35084.06</v>
      </c>
      <c r="E16" s="53">
        <f t="shared" si="0"/>
        <v>48541.5</v>
      </c>
      <c r="F16" s="53">
        <f t="shared" si="3"/>
        <v>52041.5</v>
      </c>
      <c r="G16" s="54">
        <f t="shared" si="4"/>
        <v>16957.440000000002</v>
      </c>
      <c r="H16" s="180">
        <f t="shared" si="5"/>
        <v>48.333744726237512</v>
      </c>
      <c r="I16" s="75">
        <v>11.7</v>
      </c>
      <c r="J16" s="181">
        <f t="shared" si="6"/>
        <v>40950</v>
      </c>
      <c r="K16" s="182">
        <f t="shared" si="7"/>
        <v>18116.28</v>
      </c>
      <c r="L16" s="182">
        <f t="shared" si="8"/>
        <v>59066.28</v>
      </c>
      <c r="M16" s="182">
        <f t="shared" si="9"/>
        <v>7024.7799999999988</v>
      </c>
      <c r="N16" s="182">
        <f t="shared" si="10"/>
        <v>13.498419530566949</v>
      </c>
      <c r="P16" s="75">
        <v>963.46</v>
      </c>
      <c r="Q16" s="181">
        <f t="shared" si="11"/>
        <v>37221.1</v>
      </c>
      <c r="R16" s="182">
        <f t="shared" si="1"/>
        <v>16466.61464</v>
      </c>
      <c r="S16" s="182">
        <f t="shared" si="12"/>
        <v>53687.714639999998</v>
      </c>
      <c r="T16" s="182">
        <f t="shared" si="13"/>
        <v>1646.2146399999983</v>
      </c>
      <c r="U16" s="182">
        <f t="shared" si="14"/>
        <v>3.1632728495527576</v>
      </c>
    </row>
    <row r="17" spans="1:21" x14ac:dyDescent="0.25">
      <c r="A17" s="51"/>
      <c r="B17" s="52"/>
      <c r="C17" s="57"/>
      <c r="D17" s="58"/>
      <c r="E17" s="53"/>
      <c r="F17" s="53"/>
      <c r="G17" s="54"/>
      <c r="H17" s="192"/>
      <c r="I17" s="123"/>
      <c r="J17" s="193"/>
      <c r="K17" s="194"/>
      <c r="L17" s="194"/>
      <c r="M17" s="194"/>
      <c r="N17" s="194"/>
      <c r="P17" s="123"/>
      <c r="Q17" s="193"/>
      <c r="R17" s="194"/>
      <c r="S17" s="194"/>
      <c r="T17" s="194"/>
      <c r="U17" s="194"/>
    </row>
    <row r="18" spans="1:21" ht="15.75" x14ac:dyDescent="0.25">
      <c r="A18" s="191" t="s">
        <v>163</v>
      </c>
      <c r="B18" s="52"/>
      <c r="C18" s="57"/>
      <c r="D18" s="58"/>
      <c r="E18" s="53"/>
      <c r="F18" s="53"/>
      <c r="G18" s="54"/>
      <c r="H18" s="192"/>
      <c r="I18" s="123"/>
      <c r="J18" s="193"/>
      <c r="K18" s="194"/>
      <c r="L18" s="194"/>
      <c r="M18" s="194"/>
      <c r="N18" s="194"/>
      <c r="P18" s="123"/>
      <c r="Q18" s="193"/>
      <c r="R18" s="194"/>
      <c r="S18" s="194"/>
      <c r="T18" s="194"/>
      <c r="U18" s="194"/>
    </row>
    <row r="19" spans="1:21" ht="30" x14ac:dyDescent="0.25">
      <c r="A19" s="230" t="s">
        <v>54</v>
      </c>
      <c r="B19" s="230"/>
      <c r="C19" s="65" t="s">
        <v>169</v>
      </c>
      <c r="D19" s="197" t="s">
        <v>170</v>
      </c>
      <c r="E19" s="195" t="s">
        <v>168</v>
      </c>
      <c r="F19" s="63" t="s">
        <v>53</v>
      </c>
      <c r="G19" s="65" t="s">
        <v>57</v>
      </c>
    </row>
    <row r="20" spans="1:21" ht="26.25" customHeight="1" x14ac:dyDescent="0.25">
      <c r="A20" s="228" t="s">
        <v>55</v>
      </c>
      <c r="B20" s="228"/>
      <c r="C20" s="63">
        <v>8881</v>
      </c>
      <c r="D20" s="195">
        <v>1148</v>
      </c>
      <c r="E20" s="167">
        <v>0.35</v>
      </c>
      <c r="F20" s="63">
        <v>1933</v>
      </c>
      <c r="G20" s="67">
        <v>6.7655000000000003</v>
      </c>
      <c r="P20" s="185">
        <f>6352-D20</f>
        <v>5204</v>
      </c>
      <c r="Q20" s="187">
        <f>P20/4</f>
        <v>1301</v>
      </c>
      <c r="R20" s="186">
        <f>Q20*0.35</f>
        <v>455.34999999999997</v>
      </c>
    </row>
    <row r="21" spans="1:21" x14ac:dyDescent="0.25">
      <c r="A21" s="48" t="s">
        <v>14</v>
      </c>
      <c r="B21" s="49" t="s">
        <v>10</v>
      </c>
      <c r="C21" s="48" t="s">
        <v>11</v>
      </c>
      <c r="D21" s="48" t="s">
        <v>1</v>
      </c>
      <c r="E21" s="48" t="s">
        <v>12</v>
      </c>
      <c r="F21" s="48" t="s">
        <v>1</v>
      </c>
      <c r="G21" s="50" t="s">
        <v>0</v>
      </c>
      <c r="H21" s="179" t="s">
        <v>150</v>
      </c>
      <c r="I21" s="48" t="s">
        <v>151</v>
      </c>
      <c r="J21" s="48" t="s">
        <v>152</v>
      </c>
      <c r="K21" s="48" t="s">
        <v>113</v>
      </c>
      <c r="L21" s="48" t="s">
        <v>1</v>
      </c>
      <c r="M21" s="48" t="s">
        <v>153</v>
      </c>
      <c r="N21" s="48" t="s">
        <v>154</v>
      </c>
      <c r="P21" s="75" t="s">
        <v>157</v>
      </c>
      <c r="Q21" s="48" t="s">
        <v>156</v>
      </c>
      <c r="R21" s="184" t="s">
        <v>158</v>
      </c>
      <c r="S21" s="179" t="s">
        <v>110</v>
      </c>
      <c r="T21" s="75" t="s">
        <v>153</v>
      </c>
      <c r="U21" s="75" t="s">
        <v>159</v>
      </c>
    </row>
    <row r="22" spans="1:21" x14ac:dyDescent="0.25">
      <c r="A22" s="55" t="s">
        <v>2</v>
      </c>
      <c r="B22" s="52">
        <v>2820</v>
      </c>
      <c r="C22" s="53">
        <v>18591.593999999997</v>
      </c>
      <c r="D22" s="53">
        <f>B22+C22</f>
        <v>21411.593999999997</v>
      </c>
      <c r="E22" s="53">
        <f t="shared" ref="E22:E29" si="15">B22*$G$20</f>
        <v>19078.71</v>
      </c>
      <c r="F22" s="53">
        <f>B22+E22</f>
        <v>21898.71</v>
      </c>
      <c r="G22" s="54">
        <f>F22-D22</f>
        <v>487.1160000000018</v>
      </c>
      <c r="H22" s="180">
        <f t="shared" ref="H22:H29" si="16">G22/D22*100</f>
        <v>2.2750104452755915</v>
      </c>
      <c r="I22" s="75">
        <v>6.4641999999999999</v>
      </c>
      <c r="J22" s="181">
        <f>B22*I22</f>
        <v>18229.043999999998</v>
      </c>
      <c r="K22" s="182">
        <f>J22*$K$7</f>
        <v>8064.5290655999997</v>
      </c>
      <c r="L22" s="182">
        <f>J22+K22</f>
        <v>26293.573065599998</v>
      </c>
      <c r="M22" s="182">
        <f>L22-F22</f>
        <v>4394.8630655999987</v>
      </c>
      <c r="N22" s="182">
        <f>M22/F22*100</f>
        <v>20.069050028974303</v>
      </c>
      <c r="P22" s="75">
        <v>455.35</v>
      </c>
      <c r="Q22" s="181">
        <f>B22+(B22*P22/100)</f>
        <v>15660.87</v>
      </c>
      <c r="R22" s="182">
        <f t="shared" ref="R22:R29" si="17">Q22*$U$6</f>
        <v>6928.3688880000009</v>
      </c>
      <c r="S22" s="182">
        <f>Q22+R22</f>
        <v>22589.238888</v>
      </c>
      <c r="T22" s="182">
        <f>S22-F22</f>
        <v>690.52888800000073</v>
      </c>
      <c r="U22" s="182">
        <f>T22/F22*100</f>
        <v>3.1532856866911372</v>
      </c>
    </row>
    <row r="23" spans="1:21" x14ac:dyDescent="0.25">
      <c r="A23" s="55" t="s">
        <v>3</v>
      </c>
      <c r="B23" s="52">
        <v>4025</v>
      </c>
      <c r="C23" s="53">
        <v>24940.532499999998</v>
      </c>
      <c r="D23" s="53">
        <f>B23+C23</f>
        <v>28965.532499999998</v>
      </c>
      <c r="E23" s="53">
        <f t="shared" si="15"/>
        <v>27231.137500000001</v>
      </c>
      <c r="F23" s="53">
        <f>B23+E23</f>
        <v>31256.137500000001</v>
      </c>
      <c r="G23" s="54">
        <f>F23-D23</f>
        <v>2290.6050000000032</v>
      </c>
      <c r="H23" s="180">
        <f t="shared" si="16"/>
        <v>7.9080369055877133</v>
      </c>
      <c r="I23" s="75">
        <v>6.4641999999999999</v>
      </c>
      <c r="J23" s="181">
        <f t="shared" ref="J23:J29" si="18">B23*I23</f>
        <v>26018.404999999999</v>
      </c>
      <c r="K23" s="182">
        <f t="shared" ref="K23:K29" si="19">J23*$K$7</f>
        <v>11510.542372</v>
      </c>
      <c r="L23" s="182">
        <f t="shared" ref="L23:L29" si="20">J23+K23</f>
        <v>37528.947371999995</v>
      </c>
      <c r="M23" s="182">
        <f t="shared" ref="M23:M29" si="21">L23-F23</f>
        <v>6272.8098719999944</v>
      </c>
      <c r="N23" s="182">
        <f t="shared" ref="N23:N29" si="22">M23/F23*100</f>
        <v>20.069050028974292</v>
      </c>
      <c r="P23" s="75">
        <v>455.35</v>
      </c>
      <c r="Q23" s="181">
        <f t="shared" ref="Q23:Q29" si="23">B23+(B23*P23/100)</f>
        <v>22352.837500000001</v>
      </c>
      <c r="R23" s="182">
        <f t="shared" si="17"/>
        <v>9888.8953100000017</v>
      </c>
      <c r="S23" s="182">
        <f t="shared" ref="S23:S29" si="24">Q23+R23</f>
        <v>32241.732810000001</v>
      </c>
      <c r="T23" s="182">
        <f t="shared" ref="T23:T29" si="25">S23-F23</f>
        <v>985.59531000000061</v>
      </c>
      <c r="U23" s="182">
        <f t="shared" ref="U23:U29" si="26">T23/F23*100</f>
        <v>3.1532856866911358</v>
      </c>
    </row>
    <row r="24" spans="1:21" x14ac:dyDescent="0.25">
      <c r="A24" s="55" t="s">
        <v>4</v>
      </c>
      <c r="B24" s="52">
        <v>4370</v>
      </c>
      <c r="C24" s="53">
        <v>25656.708999999999</v>
      </c>
      <c r="D24" s="53">
        <f t="shared" ref="D24:D29" si="27">B24+C24</f>
        <v>30026.708999999999</v>
      </c>
      <c r="E24" s="53">
        <f t="shared" si="15"/>
        <v>29565.235000000001</v>
      </c>
      <c r="F24" s="53">
        <f t="shared" ref="F24:F29" si="28">B24+E24</f>
        <v>33935.235000000001</v>
      </c>
      <c r="G24" s="54">
        <f t="shared" ref="G24:G29" si="29">F24-D24</f>
        <v>3908.5260000000017</v>
      </c>
      <c r="H24" s="180">
        <f t="shared" si="16"/>
        <v>13.016831115258093</v>
      </c>
      <c r="I24" s="75">
        <v>6.4641999999999999</v>
      </c>
      <c r="J24" s="181">
        <f t="shared" si="18"/>
        <v>28248.554</v>
      </c>
      <c r="K24" s="182">
        <f t="shared" si="19"/>
        <v>12497.1602896</v>
      </c>
      <c r="L24" s="182">
        <f t="shared" si="20"/>
        <v>40745.7142896</v>
      </c>
      <c r="M24" s="182">
        <f t="shared" si="21"/>
        <v>6810.4792895999999</v>
      </c>
      <c r="N24" s="182">
        <f t="shared" si="22"/>
        <v>20.06905002897431</v>
      </c>
      <c r="P24" s="75">
        <v>455.35</v>
      </c>
      <c r="Q24" s="181">
        <f t="shared" si="23"/>
        <v>24268.794999999998</v>
      </c>
      <c r="R24" s="182">
        <f t="shared" si="17"/>
        <v>10736.514907999999</v>
      </c>
      <c r="S24" s="182">
        <f t="shared" si="24"/>
        <v>35005.309907999996</v>
      </c>
      <c r="T24" s="182">
        <f t="shared" si="25"/>
        <v>1070.074907999995</v>
      </c>
      <c r="U24" s="182">
        <f t="shared" si="26"/>
        <v>3.1532856866911194</v>
      </c>
    </row>
    <row r="25" spans="1:21" x14ac:dyDescent="0.25">
      <c r="A25" s="55" t="s">
        <v>5</v>
      </c>
      <c r="B25" s="52">
        <v>4850</v>
      </c>
      <c r="C25" s="53">
        <v>26491.764999999999</v>
      </c>
      <c r="D25" s="53">
        <f t="shared" si="27"/>
        <v>31341.764999999999</v>
      </c>
      <c r="E25" s="53">
        <f t="shared" si="15"/>
        <v>32812.675000000003</v>
      </c>
      <c r="F25" s="53">
        <f t="shared" si="28"/>
        <v>37662.675000000003</v>
      </c>
      <c r="G25" s="54">
        <f t="shared" si="29"/>
        <v>6320.9100000000035</v>
      </c>
      <c r="H25" s="180">
        <f t="shared" si="16"/>
        <v>20.167689981722482</v>
      </c>
      <c r="I25" s="75">
        <v>6.4641999999999999</v>
      </c>
      <c r="J25" s="181">
        <f t="shared" si="18"/>
        <v>31351.37</v>
      </c>
      <c r="K25" s="182">
        <f t="shared" si="19"/>
        <v>13869.846088</v>
      </c>
      <c r="L25" s="182">
        <f t="shared" si="20"/>
        <v>45221.216088000001</v>
      </c>
      <c r="M25" s="182">
        <f t="shared" si="21"/>
        <v>7558.5410879999981</v>
      </c>
      <c r="N25" s="182">
        <f t="shared" si="22"/>
        <v>20.069050028974303</v>
      </c>
      <c r="P25" s="75">
        <v>455.35</v>
      </c>
      <c r="Q25" s="181">
        <f t="shared" si="23"/>
        <v>26934.474999999999</v>
      </c>
      <c r="R25" s="182">
        <f t="shared" si="17"/>
        <v>11915.811739999999</v>
      </c>
      <c r="S25" s="182">
        <f t="shared" si="24"/>
        <v>38850.286739999996</v>
      </c>
      <c r="T25" s="182">
        <f t="shared" si="25"/>
        <v>1187.611739999993</v>
      </c>
      <c r="U25" s="182">
        <f t="shared" si="26"/>
        <v>3.153285686691115</v>
      </c>
    </row>
    <row r="26" spans="1:21" x14ac:dyDescent="0.25">
      <c r="A26" s="55" t="s">
        <v>6</v>
      </c>
      <c r="B26" s="52">
        <v>5225</v>
      </c>
      <c r="C26" s="53">
        <v>27144.152499999997</v>
      </c>
      <c r="D26" s="53">
        <f t="shared" si="27"/>
        <v>32369.152499999997</v>
      </c>
      <c r="E26" s="53">
        <f t="shared" si="15"/>
        <v>35349.737500000003</v>
      </c>
      <c r="F26" s="53">
        <f t="shared" si="28"/>
        <v>40574.737500000003</v>
      </c>
      <c r="G26" s="54">
        <f t="shared" si="29"/>
        <v>8205.5850000000064</v>
      </c>
      <c r="H26" s="180">
        <f t="shared" si="16"/>
        <v>25.35001495636936</v>
      </c>
      <c r="I26" s="75">
        <v>6.4641999999999999</v>
      </c>
      <c r="J26" s="181">
        <f t="shared" si="18"/>
        <v>33775.445</v>
      </c>
      <c r="K26" s="182">
        <f t="shared" si="19"/>
        <v>14942.256868</v>
      </c>
      <c r="L26" s="182">
        <f t="shared" si="20"/>
        <v>48717.701868000004</v>
      </c>
      <c r="M26" s="182">
        <f t="shared" si="21"/>
        <v>8142.9643680000008</v>
      </c>
      <c r="N26" s="182">
        <f t="shared" si="22"/>
        <v>20.06905002897431</v>
      </c>
      <c r="P26" s="75">
        <v>455.35</v>
      </c>
      <c r="Q26" s="181">
        <f t="shared" si="23"/>
        <v>29017.037499999999</v>
      </c>
      <c r="R26" s="182">
        <f t="shared" si="17"/>
        <v>12837.13739</v>
      </c>
      <c r="S26" s="182">
        <f t="shared" si="24"/>
        <v>41854.174889999995</v>
      </c>
      <c r="T26" s="182">
        <f t="shared" si="25"/>
        <v>1279.4373899999919</v>
      </c>
      <c r="U26" s="182">
        <f t="shared" si="26"/>
        <v>3.1532856866911136</v>
      </c>
    </row>
    <row r="27" spans="1:21" x14ac:dyDescent="0.25">
      <c r="A27" s="55" t="s">
        <v>7</v>
      </c>
      <c r="B27" s="52">
        <v>5725</v>
      </c>
      <c r="C27" s="53">
        <v>28014.002499999999</v>
      </c>
      <c r="D27" s="53">
        <f t="shared" si="27"/>
        <v>33739.002500000002</v>
      </c>
      <c r="E27" s="53">
        <f t="shared" si="15"/>
        <v>38732.487500000003</v>
      </c>
      <c r="F27" s="53">
        <f t="shared" si="28"/>
        <v>44457.487500000003</v>
      </c>
      <c r="G27" s="54">
        <f t="shared" si="29"/>
        <v>10718.485000000001</v>
      </c>
      <c r="H27" s="180">
        <f t="shared" si="16"/>
        <v>31.768826004858919</v>
      </c>
      <c r="I27" s="75">
        <v>6.4641999999999999</v>
      </c>
      <c r="J27" s="181">
        <f t="shared" si="18"/>
        <v>37007.544999999998</v>
      </c>
      <c r="K27" s="182">
        <f t="shared" si="19"/>
        <v>16372.137908000001</v>
      </c>
      <c r="L27" s="182">
        <f t="shared" si="20"/>
        <v>53379.682908000002</v>
      </c>
      <c r="M27" s="182">
        <f t="shared" si="21"/>
        <v>8922.1954079999996</v>
      </c>
      <c r="N27" s="182">
        <f t="shared" si="22"/>
        <v>20.06905002897431</v>
      </c>
      <c r="P27" s="75">
        <v>455.35</v>
      </c>
      <c r="Q27" s="181">
        <f t="shared" si="23"/>
        <v>31793.787499999999</v>
      </c>
      <c r="R27" s="182">
        <f t="shared" si="17"/>
        <v>14065.57159</v>
      </c>
      <c r="S27" s="182">
        <f t="shared" si="24"/>
        <v>45859.359089999998</v>
      </c>
      <c r="T27" s="182">
        <f t="shared" si="25"/>
        <v>1401.8715899999952</v>
      </c>
      <c r="U27" s="182">
        <f t="shared" si="26"/>
        <v>3.153285686691123</v>
      </c>
    </row>
    <row r="28" spans="1:21" x14ac:dyDescent="0.25">
      <c r="A28" s="55" t="s">
        <v>8</v>
      </c>
      <c r="B28" s="52">
        <v>6325</v>
      </c>
      <c r="C28" s="53">
        <v>29057.822499999998</v>
      </c>
      <c r="D28" s="53">
        <f t="shared" si="27"/>
        <v>35382.822499999995</v>
      </c>
      <c r="E28" s="53">
        <f t="shared" si="15"/>
        <v>42791.787499999999</v>
      </c>
      <c r="F28" s="53">
        <f t="shared" si="28"/>
        <v>49116.787499999999</v>
      </c>
      <c r="G28" s="54">
        <f t="shared" si="29"/>
        <v>13733.965000000004</v>
      </c>
      <c r="H28" s="180">
        <f t="shared" si="16"/>
        <v>38.815346062344254</v>
      </c>
      <c r="I28" s="75">
        <v>6.4641999999999999</v>
      </c>
      <c r="J28" s="181">
        <f t="shared" si="18"/>
        <v>40886.065000000002</v>
      </c>
      <c r="K28" s="182">
        <f t="shared" si="19"/>
        <v>18087.995156000001</v>
      </c>
      <c r="L28" s="182">
        <f t="shared" si="20"/>
        <v>58974.060156000007</v>
      </c>
      <c r="M28" s="182">
        <f t="shared" si="21"/>
        <v>9857.2726560000083</v>
      </c>
      <c r="N28" s="182">
        <f t="shared" si="22"/>
        <v>20.069050028974328</v>
      </c>
      <c r="P28" s="75">
        <v>455.35</v>
      </c>
      <c r="Q28" s="181">
        <f t="shared" si="23"/>
        <v>35125.887499999997</v>
      </c>
      <c r="R28" s="182">
        <f t="shared" si="17"/>
        <v>15539.69263</v>
      </c>
      <c r="S28" s="182">
        <f t="shared" si="24"/>
        <v>50665.580129999995</v>
      </c>
      <c r="T28" s="182">
        <f t="shared" si="25"/>
        <v>1548.7926299999963</v>
      </c>
      <c r="U28" s="182">
        <f t="shared" si="26"/>
        <v>3.1532856866911265</v>
      </c>
    </row>
    <row r="29" spans="1:21" x14ac:dyDescent="0.25">
      <c r="A29" s="55" t="s">
        <v>9</v>
      </c>
      <c r="B29" s="52">
        <v>7000</v>
      </c>
      <c r="C29" s="53">
        <v>30232.12</v>
      </c>
      <c r="D29" s="53">
        <f t="shared" si="27"/>
        <v>37232.119999999995</v>
      </c>
      <c r="E29" s="53">
        <f t="shared" si="15"/>
        <v>47358.5</v>
      </c>
      <c r="F29" s="53">
        <f t="shared" si="28"/>
        <v>54358.5</v>
      </c>
      <c r="G29" s="54">
        <f t="shared" si="29"/>
        <v>17126.380000000005</v>
      </c>
      <c r="H29" s="180">
        <f t="shared" si="16"/>
        <v>45.998938550907134</v>
      </c>
      <c r="I29" s="75">
        <v>6.4641999999999999</v>
      </c>
      <c r="J29" s="181">
        <f t="shared" si="18"/>
        <v>45249.4</v>
      </c>
      <c r="K29" s="182">
        <f t="shared" si="19"/>
        <v>20018.334560000003</v>
      </c>
      <c r="L29" s="182">
        <f t="shared" si="20"/>
        <v>65267.734560000004</v>
      </c>
      <c r="M29" s="182">
        <f t="shared" si="21"/>
        <v>10909.234560000004</v>
      </c>
      <c r="N29" s="182">
        <f t="shared" si="22"/>
        <v>20.069050028974317</v>
      </c>
      <c r="P29" s="75">
        <v>455.35</v>
      </c>
      <c r="Q29" s="181">
        <f t="shared" si="23"/>
        <v>38874.5</v>
      </c>
      <c r="R29" s="182">
        <f t="shared" si="17"/>
        <v>17198.078799999999</v>
      </c>
      <c r="S29" s="182">
        <f t="shared" si="24"/>
        <v>56072.578800000003</v>
      </c>
      <c r="T29" s="182">
        <f t="shared" si="25"/>
        <v>1714.078800000003</v>
      </c>
      <c r="U29" s="182">
        <f t="shared" si="26"/>
        <v>3.1532856866911394</v>
      </c>
    </row>
    <row r="30" spans="1:21" x14ac:dyDescent="0.25">
      <c r="A30" s="55"/>
      <c r="B30" s="52"/>
      <c r="C30" s="53"/>
      <c r="D30" s="53"/>
      <c r="E30" s="53"/>
      <c r="F30" s="53"/>
      <c r="G30" s="54"/>
      <c r="H30" s="192"/>
      <c r="I30" s="123"/>
      <c r="J30" s="193"/>
      <c r="K30" s="194"/>
      <c r="L30" s="194"/>
      <c r="M30" s="194"/>
      <c r="N30" s="194"/>
      <c r="P30" s="123"/>
      <c r="Q30" s="193"/>
      <c r="R30" s="194"/>
      <c r="S30" s="194"/>
      <c r="T30" s="194"/>
      <c r="U30" s="194"/>
    </row>
    <row r="31" spans="1:21" ht="15.75" x14ac:dyDescent="0.25">
      <c r="A31" s="191" t="s">
        <v>164</v>
      </c>
      <c r="B31" s="52"/>
      <c r="C31" s="53"/>
      <c r="D31" s="53"/>
      <c r="E31" s="53"/>
      <c r="F31" s="53"/>
      <c r="G31" s="54"/>
      <c r="H31" s="192"/>
      <c r="I31" s="123"/>
      <c r="J31" s="193"/>
      <c r="K31" s="194"/>
      <c r="L31" s="194"/>
      <c r="M31" s="194"/>
      <c r="N31" s="194"/>
      <c r="P31" s="123"/>
      <c r="Q31" s="193"/>
      <c r="R31" s="194"/>
      <c r="S31" s="194"/>
      <c r="T31" s="194"/>
      <c r="U31" s="194"/>
    </row>
    <row r="32" spans="1:21" ht="30" x14ac:dyDescent="0.25">
      <c r="A32" s="230" t="s">
        <v>54</v>
      </c>
      <c r="B32" s="230"/>
      <c r="C32" s="65" t="s">
        <v>169</v>
      </c>
      <c r="D32" s="197" t="s">
        <v>170</v>
      </c>
      <c r="E32" s="195" t="s">
        <v>168</v>
      </c>
      <c r="F32" s="63" t="s">
        <v>53</v>
      </c>
      <c r="G32" s="65" t="s">
        <v>57</v>
      </c>
    </row>
    <row r="33" spans="1:21" ht="41.25" customHeight="1" x14ac:dyDescent="0.25">
      <c r="A33" s="228" t="s">
        <v>60</v>
      </c>
      <c r="B33" s="228"/>
      <c r="C33" s="63">
        <v>8881</v>
      </c>
      <c r="D33" s="195">
        <v>1684</v>
      </c>
      <c r="E33" s="167">
        <v>0.24</v>
      </c>
      <c r="F33" s="63">
        <v>1799</v>
      </c>
      <c r="G33" s="67">
        <v>4.3175999999999997</v>
      </c>
      <c r="P33" s="188">
        <f>6352-D33</f>
        <v>4668</v>
      </c>
      <c r="Q33" s="189">
        <f>P33/4</f>
        <v>1167</v>
      </c>
      <c r="R33" s="190">
        <f>Q33*0.24</f>
        <v>280.08</v>
      </c>
    </row>
    <row r="34" spans="1:21" x14ac:dyDescent="0.25">
      <c r="A34" s="60" t="s">
        <v>14</v>
      </c>
      <c r="B34" s="59" t="s">
        <v>10</v>
      </c>
      <c r="C34" s="60" t="s">
        <v>11</v>
      </c>
      <c r="D34" s="60" t="s">
        <v>1</v>
      </c>
      <c r="E34" s="60" t="s">
        <v>12</v>
      </c>
      <c r="F34" s="60" t="s">
        <v>1</v>
      </c>
      <c r="G34" s="60" t="s">
        <v>0</v>
      </c>
      <c r="H34" s="179" t="s">
        <v>150</v>
      </c>
      <c r="I34" s="48" t="s">
        <v>151</v>
      </c>
      <c r="J34" s="48" t="s">
        <v>152</v>
      </c>
      <c r="K34" s="48" t="s">
        <v>113</v>
      </c>
      <c r="L34" s="48" t="s">
        <v>1</v>
      </c>
      <c r="M34" s="48" t="s">
        <v>153</v>
      </c>
      <c r="N34" s="48" t="s">
        <v>154</v>
      </c>
      <c r="P34" s="75" t="s">
        <v>157</v>
      </c>
      <c r="Q34" s="48" t="s">
        <v>156</v>
      </c>
      <c r="R34" s="184" t="s">
        <v>158</v>
      </c>
      <c r="S34" s="179" t="s">
        <v>110</v>
      </c>
      <c r="T34" s="75" t="s">
        <v>153</v>
      </c>
      <c r="U34" s="75" t="s">
        <v>159</v>
      </c>
    </row>
    <row r="35" spans="1:21" x14ac:dyDescent="0.25">
      <c r="A35" s="55" t="s">
        <v>2</v>
      </c>
      <c r="B35" s="56">
        <v>4490</v>
      </c>
      <c r="C35" s="53">
        <v>18709.599999999999</v>
      </c>
      <c r="D35" s="53">
        <f>B35+C35</f>
        <v>23199.599999999999</v>
      </c>
      <c r="E35" s="53">
        <f t="shared" ref="E35:E42" si="30">B35*$G$33</f>
        <v>19386.023999999998</v>
      </c>
      <c r="F35" s="53">
        <f>E35+B35</f>
        <v>23876.023999999998</v>
      </c>
      <c r="G35" s="54">
        <f>F35-D35</f>
        <v>676.42399999999907</v>
      </c>
      <c r="H35" s="180">
        <f t="shared" ref="H35:H42" si="31">G35/D35*100</f>
        <v>2.9156709598441313</v>
      </c>
      <c r="I35" s="75">
        <v>4.5624000000000002</v>
      </c>
      <c r="J35" s="181">
        <f>B35*I35</f>
        <v>20485.175999999999</v>
      </c>
      <c r="K35" s="182">
        <f>J35*$K$7</f>
        <v>9062.6418623999998</v>
      </c>
      <c r="L35" s="182">
        <f>J35+K35</f>
        <v>29547.817862399999</v>
      </c>
      <c r="M35" s="182">
        <f>L35-F35</f>
        <v>5671.7938624000017</v>
      </c>
      <c r="N35" s="182">
        <f>M35/F35*100</f>
        <v>23.755185798104417</v>
      </c>
      <c r="P35" s="75">
        <v>280.08</v>
      </c>
      <c r="Q35" s="181">
        <f>B35+(B35*P35/100)</f>
        <v>17065.591999999997</v>
      </c>
      <c r="R35" s="182">
        <f t="shared" ref="R35:R42" si="32">Q35*$U$6</f>
        <v>7549.8179007999988</v>
      </c>
      <c r="S35" s="182">
        <f>Q35+R35</f>
        <v>24615.409900799998</v>
      </c>
      <c r="T35" s="182">
        <f>S35-F35</f>
        <v>739.38590079999994</v>
      </c>
      <c r="U35" s="182">
        <f>T35/F35*100</f>
        <v>3.0967714758537688</v>
      </c>
    </row>
    <row r="36" spans="1:21" x14ac:dyDescent="0.25">
      <c r="A36" s="55" t="s">
        <v>3</v>
      </c>
      <c r="B36" s="56">
        <v>6270</v>
      </c>
      <c r="C36" s="53">
        <v>23941.092000000001</v>
      </c>
      <c r="D36" s="53">
        <f>B36+C36</f>
        <v>30211.092000000001</v>
      </c>
      <c r="E36" s="53">
        <f t="shared" si="30"/>
        <v>27071.351999999999</v>
      </c>
      <c r="F36" s="53">
        <f>E36+B36</f>
        <v>33341.351999999999</v>
      </c>
      <c r="G36" s="54">
        <f>F36-D36</f>
        <v>3130.2599999999984</v>
      </c>
      <c r="H36" s="180">
        <f t="shared" si="31"/>
        <v>10.361293792359437</v>
      </c>
      <c r="I36" s="75">
        <v>4.5624000000000002</v>
      </c>
      <c r="J36" s="181">
        <f t="shared" ref="J36:J42" si="33">B36*I36</f>
        <v>28606.248000000003</v>
      </c>
      <c r="K36" s="182">
        <f t="shared" ref="K36:K42" si="34">J36*$K$7</f>
        <v>12655.404115200003</v>
      </c>
      <c r="L36" s="182">
        <f t="shared" ref="L36:L42" si="35">J36+K36</f>
        <v>41261.652115200006</v>
      </c>
      <c r="M36" s="182">
        <f t="shared" ref="M36:M42" si="36">L36-F36</f>
        <v>7920.300115200007</v>
      </c>
      <c r="N36" s="182">
        <f t="shared" ref="N36:N42" si="37">M36/F36*100</f>
        <v>23.755185798104431</v>
      </c>
      <c r="P36" s="75">
        <v>280.08</v>
      </c>
      <c r="Q36" s="181">
        <f t="shared" ref="Q36:Q42" si="38">B36+(B36*P36/100)</f>
        <v>23831.016</v>
      </c>
      <c r="R36" s="182">
        <f t="shared" si="32"/>
        <v>10542.8414784</v>
      </c>
      <c r="S36" s="182">
        <f t="shared" ref="S36:S42" si="39">Q36+R36</f>
        <v>34373.857478400001</v>
      </c>
      <c r="T36" s="182">
        <f t="shared" ref="T36:T42" si="40">S36-F36</f>
        <v>1032.5054784000022</v>
      </c>
      <c r="U36" s="182">
        <f t="shared" ref="U36:U42" si="41">T36/F36*100</f>
        <v>3.0967714758537754</v>
      </c>
    </row>
    <row r="37" spans="1:21" x14ac:dyDescent="0.25">
      <c r="A37" s="55" t="s">
        <v>4</v>
      </c>
      <c r="B37" s="56">
        <v>6780</v>
      </c>
      <c r="C37" s="53">
        <v>24491.59</v>
      </c>
      <c r="D37" s="53">
        <f>B37+C37</f>
        <v>31271.59</v>
      </c>
      <c r="E37" s="53">
        <f t="shared" si="30"/>
        <v>29273.327999999998</v>
      </c>
      <c r="F37" s="53">
        <f>E37+B37</f>
        <v>36053.327999999994</v>
      </c>
      <c r="G37" s="54">
        <f>F37-D37</f>
        <v>4781.7379999999939</v>
      </c>
      <c r="H37" s="180">
        <f t="shared" si="31"/>
        <v>15.290997355746841</v>
      </c>
      <c r="I37" s="75">
        <v>4.5624000000000002</v>
      </c>
      <c r="J37" s="181">
        <f t="shared" si="33"/>
        <v>30933.072</v>
      </c>
      <c r="K37" s="182">
        <f t="shared" si="34"/>
        <v>13684.791052800001</v>
      </c>
      <c r="L37" s="182">
        <f t="shared" si="35"/>
        <v>44617.863052799999</v>
      </c>
      <c r="M37" s="182">
        <f t="shared" si="36"/>
        <v>8564.5350528000054</v>
      </c>
      <c r="N37" s="182">
        <f t="shared" si="37"/>
        <v>23.755185798104428</v>
      </c>
      <c r="P37" s="75">
        <v>280.08</v>
      </c>
      <c r="Q37" s="181">
        <f t="shared" si="38"/>
        <v>25769.423999999999</v>
      </c>
      <c r="R37" s="182">
        <f t="shared" si="32"/>
        <v>11400.393177600001</v>
      </c>
      <c r="S37" s="182">
        <f t="shared" si="39"/>
        <v>37169.817177600002</v>
      </c>
      <c r="T37" s="182">
        <f t="shared" si="40"/>
        <v>1116.4891776000077</v>
      </c>
      <c r="U37" s="182">
        <f t="shared" si="41"/>
        <v>3.0967714758537901</v>
      </c>
    </row>
    <row r="38" spans="1:21" x14ac:dyDescent="0.25">
      <c r="A38" s="55" t="s">
        <v>5</v>
      </c>
      <c r="B38" s="56">
        <v>7500</v>
      </c>
      <c r="C38" s="53">
        <v>25268.754000000001</v>
      </c>
      <c r="D38" s="53">
        <f t="shared" ref="D38:D42" si="42">B38+C38</f>
        <v>32768.754000000001</v>
      </c>
      <c r="E38" s="53">
        <f t="shared" si="30"/>
        <v>32381.999999999996</v>
      </c>
      <c r="F38" s="53">
        <f t="shared" ref="F38:F42" si="43">E38+B38</f>
        <v>39882</v>
      </c>
      <c r="G38" s="54">
        <f t="shared" ref="G38:G42" si="44">F38-D38</f>
        <v>7113.2459999999992</v>
      </c>
      <c r="H38" s="180">
        <f t="shared" si="31"/>
        <v>21.707404559843805</v>
      </c>
      <c r="I38" s="75">
        <v>4.5624000000000002</v>
      </c>
      <c r="J38" s="181">
        <f t="shared" si="33"/>
        <v>34218</v>
      </c>
      <c r="K38" s="182">
        <f t="shared" si="34"/>
        <v>15138.0432</v>
      </c>
      <c r="L38" s="182">
        <f t="shared" si="35"/>
        <v>49356.0432</v>
      </c>
      <c r="M38" s="182">
        <f t="shared" si="36"/>
        <v>9474.0432000000001</v>
      </c>
      <c r="N38" s="182">
        <f t="shared" si="37"/>
        <v>23.75518579810441</v>
      </c>
      <c r="P38" s="75">
        <v>280.08</v>
      </c>
      <c r="Q38" s="181">
        <f t="shared" si="38"/>
        <v>28506</v>
      </c>
      <c r="R38" s="182">
        <f t="shared" si="32"/>
        <v>12611.054400000001</v>
      </c>
      <c r="S38" s="182">
        <f t="shared" si="39"/>
        <v>41117.054400000001</v>
      </c>
      <c r="T38" s="182">
        <f t="shared" si="40"/>
        <v>1235.0544000000009</v>
      </c>
      <c r="U38" s="182">
        <f t="shared" si="41"/>
        <v>3.096771475853771</v>
      </c>
    </row>
    <row r="39" spans="1:21" x14ac:dyDescent="0.25">
      <c r="A39" s="55" t="s">
        <v>6</v>
      </c>
      <c r="B39" s="56">
        <v>8070</v>
      </c>
      <c r="C39" s="53">
        <v>25884.011999999999</v>
      </c>
      <c r="D39" s="53">
        <f t="shared" si="42"/>
        <v>33954.012000000002</v>
      </c>
      <c r="E39" s="53">
        <f t="shared" si="30"/>
        <v>34843.031999999999</v>
      </c>
      <c r="F39" s="53">
        <f t="shared" si="43"/>
        <v>42913.031999999999</v>
      </c>
      <c r="G39" s="54">
        <f t="shared" si="44"/>
        <v>8959.0199999999968</v>
      </c>
      <c r="H39" s="180">
        <f t="shared" si="31"/>
        <v>26.385747875685489</v>
      </c>
      <c r="I39" s="75">
        <v>4.5624000000000002</v>
      </c>
      <c r="J39" s="181">
        <f t="shared" si="33"/>
        <v>36818.567999999999</v>
      </c>
      <c r="K39" s="182">
        <f t="shared" si="34"/>
        <v>16288.534483200001</v>
      </c>
      <c r="L39" s="182">
        <f t="shared" si="35"/>
        <v>53107.102483199997</v>
      </c>
      <c r="M39" s="182">
        <f t="shared" si="36"/>
        <v>10194.070483199997</v>
      </c>
      <c r="N39" s="182">
        <f t="shared" si="37"/>
        <v>23.755185798104403</v>
      </c>
      <c r="P39" s="75">
        <v>280.08</v>
      </c>
      <c r="Q39" s="181">
        <f t="shared" si="38"/>
        <v>30672.456000000002</v>
      </c>
      <c r="R39" s="182">
        <f t="shared" si="32"/>
        <v>13569.494534400001</v>
      </c>
      <c r="S39" s="182">
        <f t="shared" si="39"/>
        <v>44241.950534400006</v>
      </c>
      <c r="T39" s="182">
        <f t="shared" si="40"/>
        <v>1328.918534400007</v>
      </c>
      <c r="U39" s="182">
        <f t="shared" si="41"/>
        <v>3.0967714758537852</v>
      </c>
    </row>
    <row r="40" spans="1:21" x14ac:dyDescent="0.25">
      <c r="A40" s="55" t="s">
        <v>7</v>
      </c>
      <c r="B40" s="56">
        <v>8830</v>
      </c>
      <c r="C40" s="53">
        <v>26704.356</v>
      </c>
      <c r="D40" s="53">
        <f t="shared" si="42"/>
        <v>35534.356</v>
      </c>
      <c r="E40" s="53">
        <f t="shared" si="30"/>
        <v>38124.407999999996</v>
      </c>
      <c r="F40" s="53">
        <f t="shared" si="43"/>
        <v>46954.407999999996</v>
      </c>
      <c r="G40" s="54">
        <f t="shared" si="44"/>
        <v>11420.051999999996</v>
      </c>
      <c r="H40" s="180">
        <f t="shared" si="31"/>
        <v>32.138058165455412</v>
      </c>
      <c r="I40" s="75">
        <v>4.5624000000000002</v>
      </c>
      <c r="J40" s="181">
        <f t="shared" si="33"/>
        <v>40285.992000000006</v>
      </c>
      <c r="K40" s="182">
        <f t="shared" si="34"/>
        <v>17822.522860800003</v>
      </c>
      <c r="L40" s="182">
        <f t="shared" si="35"/>
        <v>58108.514860800009</v>
      </c>
      <c r="M40" s="182">
        <f t="shared" si="36"/>
        <v>11154.106860800013</v>
      </c>
      <c r="N40" s="182">
        <f t="shared" si="37"/>
        <v>23.755185798104439</v>
      </c>
      <c r="P40" s="75">
        <v>280.08</v>
      </c>
      <c r="Q40" s="181">
        <f t="shared" si="38"/>
        <v>33561.063999999998</v>
      </c>
      <c r="R40" s="182">
        <f t="shared" si="32"/>
        <v>14847.414713599999</v>
      </c>
      <c r="S40" s="182">
        <f t="shared" si="39"/>
        <v>48408.478713599994</v>
      </c>
      <c r="T40" s="182">
        <f t="shared" si="40"/>
        <v>1454.0707135999983</v>
      </c>
      <c r="U40" s="182">
        <f t="shared" si="41"/>
        <v>3.0967714758537652</v>
      </c>
    </row>
    <row r="41" spans="1:21" x14ac:dyDescent="0.25">
      <c r="A41" s="55" t="s">
        <v>8</v>
      </c>
      <c r="B41" s="56">
        <v>9670</v>
      </c>
      <c r="C41" s="53">
        <v>27611.052</v>
      </c>
      <c r="D41" s="53">
        <f t="shared" si="42"/>
        <v>37281.051999999996</v>
      </c>
      <c r="E41" s="53">
        <f t="shared" si="30"/>
        <v>41751.191999999995</v>
      </c>
      <c r="F41" s="53">
        <f t="shared" si="43"/>
        <v>51421.191999999995</v>
      </c>
      <c r="G41" s="54">
        <f t="shared" si="44"/>
        <v>14140.14</v>
      </c>
      <c r="H41" s="180">
        <f t="shared" si="31"/>
        <v>37.92848978617878</v>
      </c>
      <c r="I41" s="75">
        <v>4.5624000000000002</v>
      </c>
      <c r="J41" s="181">
        <f t="shared" si="33"/>
        <v>44118.408000000003</v>
      </c>
      <c r="K41" s="182">
        <f t="shared" si="34"/>
        <v>19517.983699200002</v>
      </c>
      <c r="L41" s="182">
        <f t="shared" si="35"/>
        <v>63636.391699200001</v>
      </c>
      <c r="M41" s="182">
        <f t="shared" si="36"/>
        <v>12215.199699200006</v>
      </c>
      <c r="N41" s="182">
        <f t="shared" si="37"/>
        <v>23.755185798104421</v>
      </c>
      <c r="P41" s="75">
        <v>280.08</v>
      </c>
      <c r="Q41" s="181">
        <f t="shared" si="38"/>
        <v>36753.735999999997</v>
      </c>
      <c r="R41" s="182">
        <f t="shared" si="32"/>
        <v>16259.8528064</v>
      </c>
      <c r="S41" s="182">
        <f t="shared" si="39"/>
        <v>53013.588806399996</v>
      </c>
      <c r="T41" s="182">
        <f t="shared" si="40"/>
        <v>1592.3968064000001</v>
      </c>
      <c r="U41" s="182">
        <f t="shared" si="41"/>
        <v>3.0967714758537692</v>
      </c>
    </row>
    <row r="42" spans="1:21" x14ac:dyDescent="0.25">
      <c r="A42" s="55" t="s">
        <v>9</v>
      </c>
      <c r="B42" s="56">
        <v>10650</v>
      </c>
      <c r="C42" s="53">
        <v>28668.864000000001</v>
      </c>
      <c r="D42" s="53">
        <f t="shared" si="42"/>
        <v>39318.864000000001</v>
      </c>
      <c r="E42" s="53">
        <f t="shared" si="30"/>
        <v>45982.439999999995</v>
      </c>
      <c r="F42" s="53">
        <f t="shared" si="43"/>
        <v>56632.439999999995</v>
      </c>
      <c r="G42" s="54">
        <f t="shared" si="44"/>
        <v>17313.575999999994</v>
      </c>
      <c r="H42" s="180">
        <f t="shared" si="31"/>
        <v>44.0337645563717</v>
      </c>
      <c r="I42" s="75">
        <v>4.5624000000000002</v>
      </c>
      <c r="J42" s="181">
        <f t="shared" si="33"/>
        <v>48589.560000000005</v>
      </c>
      <c r="K42" s="182">
        <f t="shared" si="34"/>
        <v>21496.021344000004</v>
      </c>
      <c r="L42" s="182">
        <f t="shared" si="35"/>
        <v>70085.581344000006</v>
      </c>
      <c r="M42" s="182">
        <f t="shared" si="36"/>
        <v>13453.141344000011</v>
      </c>
      <c r="N42" s="182">
        <f t="shared" si="37"/>
        <v>23.755185798104428</v>
      </c>
      <c r="P42" s="75">
        <v>280.08</v>
      </c>
      <c r="Q42" s="181">
        <f t="shared" si="38"/>
        <v>40478.520000000004</v>
      </c>
      <c r="R42" s="182">
        <f t="shared" si="32"/>
        <v>17907.697248000004</v>
      </c>
      <c r="S42" s="182">
        <f t="shared" si="39"/>
        <v>58386.217248000008</v>
      </c>
      <c r="T42" s="182">
        <f t="shared" si="40"/>
        <v>1753.7772480000131</v>
      </c>
      <c r="U42" s="182">
        <f t="shared" si="41"/>
        <v>3.0967714758537919</v>
      </c>
    </row>
    <row r="44" spans="1:21" ht="18.75" x14ac:dyDescent="0.3">
      <c r="A44" s="62" t="s">
        <v>52</v>
      </c>
    </row>
    <row r="46" spans="1:21" ht="15.75" x14ac:dyDescent="0.25">
      <c r="A46" s="191" t="s">
        <v>161</v>
      </c>
    </row>
    <row r="47" spans="1:21" ht="30" x14ac:dyDescent="0.25">
      <c r="A47" s="230" t="s">
        <v>54</v>
      </c>
      <c r="B47" s="230"/>
      <c r="C47" s="65" t="s">
        <v>169</v>
      </c>
      <c r="D47" s="197" t="s">
        <v>170</v>
      </c>
      <c r="E47" s="195" t="s">
        <v>168</v>
      </c>
      <c r="F47" s="63" t="s">
        <v>53</v>
      </c>
      <c r="G47" s="65" t="s">
        <v>57</v>
      </c>
    </row>
    <row r="48" spans="1:21" ht="27.75" customHeight="1" x14ac:dyDescent="0.25">
      <c r="A48" s="228" t="s">
        <v>160</v>
      </c>
      <c r="B48" s="228"/>
      <c r="C48" s="63">
        <v>8881</v>
      </c>
      <c r="D48" s="195">
        <v>2288</v>
      </c>
      <c r="E48" s="167">
        <v>0.18</v>
      </c>
      <c r="F48" s="63">
        <v>1799</v>
      </c>
      <c r="G48" s="67">
        <v>2.9664000000000001</v>
      </c>
      <c r="P48" s="188">
        <f>6352-D48</f>
        <v>4064</v>
      </c>
      <c r="Q48" s="189">
        <f>P48/4</f>
        <v>1016</v>
      </c>
      <c r="R48" s="190">
        <f>Q48*0.18</f>
        <v>182.88</v>
      </c>
    </row>
    <row r="49" spans="1:21" x14ac:dyDescent="0.25">
      <c r="A49" s="60" t="s">
        <v>14</v>
      </c>
      <c r="B49" s="59" t="s">
        <v>10</v>
      </c>
      <c r="C49" s="60" t="s">
        <v>11</v>
      </c>
      <c r="D49" s="60" t="s">
        <v>1</v>
      </c>
      <c r="E49" s="60" t="s">
        <v>12</v>
      </c>
      <c r="F49" s="60" t="s">
        <v>1</v>
      </c>
      <c r="G49" s="60" t="s">
        <v>0</v>
      </c>
      <c r="H49" s="179" t="s">
        <v>150</v>
      </c>
      <c r="I49" s="48" t="s">
        <v>151</v>
      </c>
      <c r="J49" s="48" t="s">
        <v>152</v>
      </c>
      <c r="K49" s="48" t="s">
        <v>113</v>
      </c>
      <c r="L49" s="48" t="s">
        <v>1</v>
      </c>
      <c r="M49" s="48" t="s">
        <v>153</v>
      </c>
      <c r="N49" s="48" t="s">
        <v>154</v>
      </c>
      <c r="P49" s="75" t="s">
        <v>157</v>
      </c>
      <c r="Q49" s="48" t="s">
        <v>156</v>
      </c>
      <c r="R49" s="184" t="s">
        <v>158</v>
      </c>
      <c r="S49" s="179" t="s">
        <v>110</v>
      </c>
      <c r="T49" s="75" t="s">
        <v>153</v>
      </c>
      <c r="U49" s="75" t="s">
        <v>159</v>
      </c>
    </row>
    <row r="50" spans="1:21" x14ac:dyDescent="0.25">
      <c r="A50" s="55" t="s">
        <v>2</v>
      </c>
      <c r="B50" s="56">
        <f>13210/2</f>
        <v>6605</v>
      </c>
      <c r="C50" s="53">
        <f>B50*$G$48</f>
        <v>19593.072</v>
      </c>
      <c r="D50" s="53">
        <f>B50+C50</f>
        <v>26198.072</v>
      </c>
      <c r="E50" s="198" t="s">
        <v>25</v>
      </c>
      <c r="F50" s="198" t="s">
        <v>25</v>
      </c>
      <c r="G50" s="198" t="s">
        <v>25</v>
      </c>
      <c r="H50" s="198" t="s">
        <v>25</v>
      </c>
      <c r="I50" s="75">
        <v>3.3946000000000001</v>
      </c>
      <c r="J50" s="181">
        <f>B50*I50</f>
        <v>22421.332999999999</v>
      </c>
      <c r="K50" s="182">
        <f>J50*$K$7</f>
        <v>9919.1977191999995</v>
      </c>
      <c r="L50" s="182">
        <f>J50+K50</f>
        <v>32340.530719199996</v>
      </c>
      <c r="M50" s="182">
        <f>L50-D50</f>
        <v>6142.4587191999963</v>
      </c>
      <c r="N50" s="182">
        <f>M50/D50*100</f>
        <v>23.446224283985465</v>
      </c>
      <c r="P50" s="75">
        <v>182.88</v>
      </c>
      <c r="Q50" s="181">
        <f>B50+(B50*P50/100)</f>
        <v>18684.223999999998</v>
      </c>
      <c r="R50" s="182">
        <f t="shared" ref="R50:R57" si="45">Q50*$U$6</f>
        <v>8265.9006976000001</v>
      </c>
      <c r="S50" s="182">
        <f>Q50+R50</f>
        <v>26950.124697599997</v>
      </c>
      <c r="T50" s="182">
        <f>S50-D50</f>
        <v>752.05269759999646</v>
      </c>
      <c r="U50" s="182">
        <f>T50/D50*100</f>
        <v>2.8706413876562995</v>
      </c>
    </row>
    <row r="51" spans="1:21" x14ac:dyDescent="0.25">
      <c r="A51" s="55" t="s">
        <v>3</v>
      </c>
      <c r="B51" s="56">
        <v>9120</v>
      </c>
      <c r="C51" s="53">
        <f t="shared" ref="C51:C57" si="46">B51*$G$48</f>
        <v>27053.568000000003</v>
      </c>
      <c r="D51" s="53">
        <f>B51+C51</f>
        <v>36173.567999999999</v>
      </c>
      <c r="E51" s="198" t="s">
        <v>25</v>
      </c>
      <c r="F51" s="198" t="s">
        <v>25</v>
      </c>
      <c r="G51" s="198" t="s">
        <v>25</v>
      </c>
      <c r="H51" s="198" t="s">
        <v>25</v>
      </c>
      <c r="I51" s="75">
        <v>3.3946000000000001</v>
      </c>
      <c r="J51" s="181">
        <f t="shared" ref="J51:J57" si="47">B51*I51</f>
        <v>30958.752</v>
      </c>
      <c r="K51" s="182">
        <f t="shared" ref="K51:K57" si="48">J51*$K$7</f>
        <v>13696.151884800001</v>
      </c>
      <c r="L51" s="182">
        <f t="shared" ref="L51:L57" si="49">J51+K51</f>
        <v>44654.903884800005</v>
      </c>
      <c r="M51" s="182">
        <f t="shared" ref="M51:M57" si="50">L51-D51</f>
        <v>8481.3358848000062</v>
      </c>
      <c r="N51" s="182">
        <f t="shared" ref="N51:N57" si="51">M51/D51*100</f>
        <v>23.446224283985494</v>
      </c>
      <c r="P51" s="75">
        <v>182.88</v>
      </c>
      <c r="Q51" s="181">
        <f t="shared" ref="Q51:Q57" si="52">B51+(B51*P51/100)</f>
        <v>25798.655999999999</v>
      </c>
      <c r="R51" s="182">
        <f t="shared" si="45"/>
        <v>11413.3254144</v>
      </c>
      <c r="S51" s="182">
        <f t="shared" ref="S51:S57" si="53">Q51+R51</f>
        <v>37211.981414399997</v>
      </c>
      <c r="T51" s="182">
        <f t="shared" ref="T51:T57" si="54">S51-D51</f>
        <v>1038.4134143999981</v>
      </c>
      <c r="U51" s="182">
        <f t="shared" ref="U51:U57" si="55">T51/D51*100</f>
        <v>2.8706413876563079</v>
      </c>
    </row>
    <row r="52" spans="1:21" x14ac:dyDescent="0.25">
      <c r="A52" s="55" t="s">
        <v>4</v>
      </c>
      <c r="B52" s="56">
        <f>19920/2</f>
        <v>9960</v>
      </c>
      <c r="C52" s="53">
        <f t="shared" si="46"/>
        <v>29545.344000000001</v>
      </c>
      <c r="D52" s="53">
        <f>B52+C52</f>
        <v>39505.343999999997</v>
      </c>
      <c r="E52" s="198" t="s">
        <v>25</v>
      </c>
      <c r="F52" s="198" t="s">
        <v>25</v>
      </c>
      <c r="G52" s="198" t="s">
        <v>25</v>
      </c>
      <c r="H52" s="198" t="s">
        <v>25</v>
      </c>
      <c r="I52" s="75">
        <v>3.3946000000000001</v>
      </c>
      <c r="J52" s="181">
        <f t="shared" si="47"/>
        <v>33810.216</v>
      </c>
      <c r="K52" s="182">
        <f t="shared" si="48"/>
        <v>14957.6395584</v>
      </c>
      <c r="L52" s="182">
        <f t="shared" si="49"/>
        <v>48767.855558399999</v>
      </c>
      <c r="M52" s="182">
        <f t="shared" si="50"/>
        <v>9262.5115584000014</v>
      </c>
      <c r="N52" s="182">
        <f t="shared" si="51"/>
        <v>23.446224283985483</v>
      </c>
      <c r="P52" s="75">
        <v>182.88</v>
      </c>
      <c r="Q52" s="181">
        <f t="shared" si="52"/>
        <v>28174.848000000002</v>
      </c>
      <c r="R52" s="182">
        <f t="shared" si="45"/>
        <v>12464.5527552</v>
      </c>
      <c r="S52" s="182">
        <f t="shared" si="53"/>
        <v>40639.400755200004</v>
      </c>
      <c r="T52" s="182">
        <f t="shared" si="54"/>
        <v>1134.0567552000066</v>
      </c>
      <c r="U52" s="182">
        <f t="shared" si="55"/>
        <v>2.8706413876563297</v>
      </c>
    </row>
    <row r="53" spans="1:21" x14ac:dyDescent="0.25">
      <c r="A53" s="55" t="s">
        <v>5</v>
      </c>
      <c r="B53" s="56">
        <f>22280/2</f>
        <v>11140</v>
      </c>
      <c r="C53" s="53">
        <f t="shared" si="46"/>
        <v>33045.696000000004</v>
      </c>
      <c r="D53" s="53">
        <f t="shared" ref="D53:D57" si="56">B53+C53</f>
        <v>44185.696000000004</v>
      </c>
      <c r="E53" s="198" t="s">
        <v>25</v>
      </c>
      <c r="F53" s="198" t="s">
        <v>25</v>
      </c>
      <c r="G53" s="198" t="s">
        <v>25</v>
      </c>
      <c r="H53" s="198" t="s">
        <v>25</v>
      </c>
      <c r="I53" s="75">
        <v>3.3946000000000001</v>
      </c>
      <c r="J53" s="181">
        <f t="shared" si="47"/>
        <v>37815.843999999997</v>
      </c>
      <c r="K53" s="182">
        <f t="shared" si="48"/>
        <v>16729.7293856</v>
      </c>
      <c r="L53" s="182">
        <f t="shared" si="49"/>
        <v>54545.573385600001</v>
      </c>
      <c r="M53" s="182">
        <f t="shared" si="50"/>
        <v>10359.877385599997</v>
      </c>
      <c r="N53" s="182">
        <f t="shared" si="51"/>
        <v>23.446224283985469</v>
      </c>
      <c r="P53" s="75">
        <v>182.88</v>
      </c>
      <c r="Q53" s="181">
        <f t="shared" si="52"/>
        <v>31512.831999999999</v>
      </c>
      <c r="R53" s="182">
        <f t="shared" si="45"/>
        <v>13941.276876800001</v>
      </c>
      <c r="S53" s="182">
        <f t="shared" si="53"/>
        <v>45454.108876799997</v>
      </c>
      <c r="T53" s="182">
        <f t="shared" si="54"/>
        <v>1268.4128767999937</v>
      </c>
      <c r="U53" s="182">
        <f t="shared" si="55"/>
        <v>2.8706413876562986</v>
      </c>
    </row>
    <row r="54" spans="1:21" x14ac:dyDescent="0.25">
      <c r="A54" s="55" t="s">
        <v>6</v>
      </c>
      <c r="B54" s="56">
        <f>24140/2</f>
        <v>12070</v>
      </c>
      <c r="C54" s="53">
        <f t="shared" si="46"/>
        <v>35804.448000000004</v>
      </c>
      <c r="D54" s="53">
        <f t="shared" si="56"/>
        <v>47874.448000000004</v>
      </c>
      <c r="E54" s="198" t="s">
        <v>25</v>
      </c>
      <c r="F54" s="198" t="s">
        <v>25</v>
      </c>
      <c r="G54" s="198" t="s">
        <v>25</v>
      </c>
      <c r="H54" s="198" t="s">
        <v>25</v>
      </c>
      <c r="I54" s="75">
        <v>3.3946000000000001</v>
      </c>
      <c r="J54" s="181">
        <f t="shared" si="47"/>
        <v>40972.822</v>
      </c>
      <c r="K54" s="182">
        <f t="shared" si="48"/>
        <v>18126.376452799999</v>
      </c>
      <c r="L54" s="182">
        <f t="shared" si="49"/>
        <v>59099.198452800003</v>
      </c>
      <c r="M54" s="182">
        <f t="shared" si="50"/>
        <v>11224.750452799999</v>
      </c>
      <c r="N54" s="182">
        <f t="shared" si="51"/>
        <v>23.446224283985472</v>
      </c>
      <c r="P54" s="75">
        <v>182.88</v>
      </c>
      <c r="Q54" s="181">
        <f t="shared" si="52"/>
        <v>34143.616000000002</v>
      </c>
      <c r="R54" s="182">
        <f t="shared" si="45"/>
        <v>15105.135718400001</v>
      </c>
      <c r="S54" s="182">
        <f t="shared" si="53"/>
        <v>49248.751718400003</v>
      </c>
      <c r="T54" s="182">
        <f t="shared" si="54"/>
        <v>1374.3037183999986</v>
      </c>
      <c r="U54" s="182">
        <f t="shared" si="55"/>
        <v>2.8706413876563102</v>
      </c>
    </row>
    <row r="55" spans="1:21" x14ac:dyDescent="0.25">
      <c r="A55" s="55" t="s">
        <v>7</v>
      </c>
      <c r="B55" s="56">
        <f>26620/2</f>
        <v>13310</v>
      </c>
      <c r="C55" s="53">
        <f t="shared" si="46"/>
        <v>39482.784</v>
      </c>
      <c r="D55" s="53">
        <f t="shared" si="56"/>
        <v>52792.784</v>
      </c>
      <c r="E55" s="198" t="s">
        <v>25</v>
      </c>
      <c r="F55" s="198" t="s">
        <v>25</v>
      </c>
      <c r="G55" s="198" t="s">
        <v>25</v>
      </c>
      <c r="H55" s="198" t="s">
        <v>25</v>
      </c>
      <c r="I55" s="75">
        <v>3.3946000000000001</v>
      </c>
      <c r="J55" s="181">
        <f t="shared" si="47"/>
        <v>45182.126000000004</v>
      </c>
      <c r="K55" s="182">
        <f t="shared" si="48"/>
        <v>19988.572542400001</v>
      </c>
      <c r="L55" s="182">
        <f t="shared" si="49"/>
        <v>65170.698542400001</v>
      </c>
      <c r="M55" s="182">
        <f t="shared" si="50"/>
        <v>12377.914542400002</v>
      </c>
      <c r="N55" s="182">
        <f t="shared" si="51"/>
        <v>23.44622428398548</v>
      </c>
      <c r="P55" s="75">
        <v>182.88</v>
      </c>
      <c r="Q55" s="181">
        <f t="shared" si="52"/>
        <v>37651.327999999994</v>
      </c>
      <c r="R55" s="182">
        <f t="shared" si="45"/>
        <v>16656.947507199999</v>
      </c>
      <c r="S55" s="182">
        <f t="shared" si="53"/>
        <v>54308.275507199993</v>
      </c>
      <c r="T55" s="182">
        <f t="shared" si="54"/>
        <v>1515.4915071999931</v>
      </c>
      <c r="U55" s="182">
        <f t="shared" si="55"/>
        <v>2.8706413876562999</v>
      </c>
    </row>
    <row r="56" spans="1:21" x14ac:dyDescent="0.25">
      <c r="A56" s="55" t="s">
        <v>8</v>
      </c>
      <c r="B56" s="56">
        <f>29340/2</f>
        <v>14670</v>
      </c>
      <c r="C56" s="53">
        <f t="shared" si="46"/>
        <v>43517.088000000003</v>
      </c>
      <c r="D56" s="53">
        <f t="shared" si="56"/>
        <v>58187.088000000003</v>
      </c>
      <c r="E56" s="198" t="s">
        <v>25</v>
      </c>
      <c r="F56" s="198" t="s">
        <v>25</v>
      </c>
      <c r="G56" s="198" t="s">
        <v>25</v>
      </c>
      <c r="H56" s="198" t="s">
        <v>25</v>
      </c>
      <c r="I56" s="75">
        <v>3.3946000000000001</v>
      </c>
      <c r="J56" s="181">
        <f t="shared" si="47"/>
        <v>49798.781999999999</v>
      </c>
      <c r="K56" s="182">
        <f t="shared" si="48"/>
        <v>22030.9811568</v>
      </c>
      <c r="L56" s="182">
        <f t="shared" si="49"/>
        <v>71829.763156800007</v>
      </c>
      <c r="M56" s="182">
        <f t="shared" si="50"/>
        <v>13642.675156800004</v>
      </c>
      <c r="N56" s="182">
        <f t="shared" si="51"/>
        <v>23.446224283985483</v>
      </c>
      <c r="P56" s="75">
        <v>182.88</v>
      </c>
      <c r="Q56" s="181">
        <f t="shared" si="52"/>
        <v>41498.495999999999</v>
      </c>
      <c r="R56" s="182">
        <f t="shared" si="45"/>
        <v>18358.934630399999</v>
      </c>
      <c r="S56" s="182">
        <f t="shared" si="53"/>
        <v>59857.430630399998</v>
      </c>
      <c r="T56" s="182">
        <f t="shared" si="54"/>
        <v>1670.342630399995</v>
      </c>
      <c r="U56" s="182">
        <f t="shared" si="55"/>
        <v>2.8706413876563039</v>
      </c>
    </row>
    <row r="57" spans="1:21" x14ac:dyDescent="0.25">
      <c r="A57" s="55" t="s">
        <v>9</v>
      </c>
      <c r="B57" s="56">
        <f>32600/2</f>
        <v>16300</v>
      </c>
      <c r="C57" s="53">
        <f t="shared" si="46"/>
        <v>48352.32</v>
      </c>
      <c r="D57" s="53">
        <f t="shared" si="56"/>
        <v>64652.32</v>
      </c>
      <c r="E57" s="198" t="s">
        <v>25</v>
      </c>
      <c r="F57" s="198" t="s">
        <v>25</v>
      </c>
      <c r="G57" s="198" t="s">
        <v>25</v>
      </c>
      <c r="H57" s="198" t="s">
        <v>25</v>
      </c>
      <c r="I57" s="75">
        <v>3.3946000000000001</v>
      </c>
      <c r="J57" s="181">
        <f t="shared" si="47"/>
        <v>55331.98</v>
      </c>
      <c r="K57" s="182">
        <f t="shared" si="48"/>
        <v>24478.867952000001</v>
      </c>
      <c r="L57" s="182">
        <f t="shared" si="49"/>
        <v>79810.847952000011</v>
      </c>
      <c r="M57" s="182">
        <f t="shared" si="50"/>
        <v>15158.527952000011</v>
      </c>
      <c r="N57" s="182">
        <f t="shared" si="51"/>
        <v>23.446224283985494</v>
      </c>
      <c r="P57" s="75">
        <v>182.88</v>
      </c>
      <c r="Q57" s="181">
        <f t="shared" si="52"/>
        <v>46109.440000000002</v>
      </c>
      <c r="R57" s="182">
        <f t="shared" si="45"/>
        <v>20398.816256000002</v>
      </c>
      <c r="S57" s="182">
        <f t="shared" si="53"/>
        <v>66508.256256000008</v>
      </c>
      <c r="T57" s="182">
        <f t="shared" si="54"/>
        <v>1855.9362560000081</v>
      </c>
      <c r="U57" s="182">
        <f t="shared" si="55"/>
        <v>2.8706413876563257</v>
      </c>
    </row>
    <row r="59" spans="1:21" ht="15.75" x14ac:dyDescent="0.25">
      <c r="A59" s="191" t="s">
        <v>165</v>
      </c>
    </row>
    <row r="60" spans="1:21" ht="30" x14ac:dyDescent="0.25">
      <c r="A60" s="230" t="s">
        <v>54</v>
      </c>
      <c r="B60" s="230"/>
      <c r="C60" s="65" t="s">
        <v>169</v>
      </c>
      <c r="D60" s="197" t="s">
        <v>170</v>
      </c>
      <c r="E60" s="195" t="s">
        <v>168</v>
      </c>
      <c r="F60" s="63" t="s">
        <v>53</v>
      </c>
      <c r="G60" s="65" t="s">
        <v>57</v>
      </c>
    </row>
    <row r="61" spans="1:21" x14ac:dyDescent="0.25">
      <c r="A61" s="228" t="s">
        <v>171</v>
      </c>
      <c r="B61" s="228"/>
      <c r="C61" s="63">
        <v>8881</v>
      </c>
      <c r="D61" s="195">
        <v>2836</v>
      </c>
      <c r="E61" s="167">
        <v>0.15</v>
      </c>
      <c r="F61" s="63">
        <v>1799</v>
      </c>
      <c r="G61" s="67">
        <v>2.2665000000000002</v>
      </c>
      <c r="P61" s="188">
        <f>6352-D61</f>
        <v>3516</v>
      </c>
      <c r="Q61" s="189">
        <f>P61/4</f>
        <v>879</v>
      </c>
      <c r="R61" s="190">
        <f>Q61*0.15</f>
        <v>131.85</v>
      </c>
    </row>
    <row r="62" spans="1:21" x14ac:dyDescent="0.25">
      <c r="A62" s="60" t="s">
        <v>14</v>
      </c>
      <c r="B62" s="59" t="s">
        <v>10</v>
      </c>
      <c r="C62" s="60" t="s">
        <v>11</v>
      </c>
      <c r="D62" s="60" t="s">
        <v>1</v>
      </c>
      <c r="E62" s="60" t="s">
        <v>12</v>
      </c>
      <c r="F62" s="60" t="s">
        <v>1</v>
      </c>
      <c r="G62" s="60" t="s">
        <v>0</v>
      </c>
      <c r="H62" s="179" t="s">
        <v>150</v>
      </c>
      <c r="I62" s="48" t="s">
        <v>151</v>
      </c>
      <c r="J62" s="48" t="s">
        <v>152</v>
      </c>
      <c r="K62" s="48" t="s">
        <v>113</v>
      </c>
      <c r="L62" s="48" t="s">
        <v>1</v>
      </c>
      <c r="M62" s="48" t="s">
        <v>153</v>
      </c>
      <c r="N62" s="48" t="s">
        <v>154</v>
      </c>
      <c r="P62" s="75" t="s">
        <v>157</v>
      </c>
      <c r="Q62" s="48" t="s">
        <v>156</v>
      </c>
      <c r="R62" s="184" t="s">
        <v>158</v>
      </c>
      <c r="S62" s="179" t="s">
        <v>110</v>
      </c>
      <c r="T62" s="75" t="s">
        <v>153</v>
      </c>
      <c r="U62" s="75" t="s">
        <v>159</v>
      </c>
    </row>
    <row r="63" spans="1:21" x14ac:dyDescent="0.25">
      <c r="A63" s="55" t="s">
        <v>2</v>
      </c>
      <c r="B63" s="56">
        <f>21240/2</f>
        <v>10620</v>
      </c>
      <c r="C63" s="53">
        <f>B63*$G$61</f>
        <v>24070.230000000003</v>
      </c>
      <c r="D63" s="53">
        <f>B63+C63</f>
        <v>34690.230000000003</v>
      </c>
      <c r="E63" s="198" t="s">
        <v>25</v>
      </c>
      <c r="F63" s="198" t="s">
        <v>25</v>
      </c>
      <c r="G63" s="198" t="s">
        <v>25</v>
      </c>
      <c r="H63" s="198" t="s">
        <v>25</v>
      </c>
      <c r="I63" s="75">
        <v>2.5503</v>
      </c>
      <c r="J63" s="181">
        <f>B63*I63</f>
        <v>27084.186000000002</v>
      </c>
      <c r="K63" s="182">
        <f>J63*$K$7</f>
        <v>11982.043886400001</v>
      </c>
      <c r="L63" s="182">
        <f>J63+K63</f>
        <v>39066.229886400004</v>
      </c>
      <c r="M63" s="182">
        <f>L63-D63</f>
        <v>4375.9998864000008</v>
      </c>
      <c r="N63" s="182">
        <f>M63/D63*100</f>
        <v>12.61450237257003</v>
      </c>
      <c r="P63">
        <v>131.88</v>
      </c>
      <c r="Q63" s="181">
        <f>B63+(B63*P63/100)</f>
        <v>24625.655999999999</v>
      </c>
      <c r="R63" s="182">
        <f t="shared" ref="R63:R70" si="57">Q63*$U$6</f>
        <v>10894.3902144</v>
      </c>
      <c r="S63" s="182">
        <f>Q63+R63</f>
        <v>35520.046214399998</v>
      </c>
      <c r="T63" s="182">
        <f t="shared" ref="T63:T70" si="58">S63-D63</f>
        <v>829.81621439999435</v>
      </c>
      <c r="U63" s="182">
        <f t="shared" ref="U63:U70" si="59">T63/D63*100</f>
        <v>2.3920746976886411</v>
      </c>
    </row>
    <row r="64" spans="1:21" x14ac:dyDescent="0.25">
      <c r="A64" s="55" t="s">
        <v>3</v>
      </c>
      <c r="B64" s="56">
        <f>25700/2</f>
        <v>12850</v>
      </c>
      <c r="C64" s="53">
        <f t="shared" ref="C64:C70" si="60">B64*$G$61</f>
        <v>29124.525000000001</v>
      </c>
      <c r="D64" s="53">
        <f>B64+C64</f>
        <v>41974.525000000001</v>
      </c>
      <c r="E64" s="198" t="s">
        <v>25</v>
      </c>
      <c r="F64" s="198" t="s">
        <v>25</v>
      </c>
      <c r="G64" s="198" t="s">
        <v>25</v>
      </c>
      <c r="H64" s="198" t="s">
        <v>25</v>
      </c>
      <c r="I64" s="75">
        <v>2.5503</v>
      </c>
      <c r="J64" s="181">
        <f t="shared" ref="J64:J70" si="61">B64*I64</f>
        <v>32771.355000000003</v>
      </c>
      <c r="K64" s="182">
        <f t="shared" ref="K64:K70" si="62">J64*$K$7</f>
        <v>14498.047452000003</v>
      </c>
      <c r="L64" s="182">
        <f t="shared" ref="L64:L70" si="63">J64+K64</f>
        <v>47269.402452000009</v>
      </c>
      <c r="M64" s="182">
        <f t="shared" ref="M64:M70" si="64">L64-D64</f>
        <v>5294.8774520000079</v>
      </c>
      <c r="N64" s="182">
        <f t="shared" ref="N64:N70" si="65">M64/D64*100</f>
        <v>12.614502372570048</v>
      </c>
      <c r="P64">
        <v>131.88</v>
      </c>
      <c r="Q64" s="181">
        <f t="shared" ref="Q64:Q70" si="66">B64+(B64*P64/100)</f>
        <v>29796.58</v>
      </c>
      <c r="R64" s="182">
        <f t="shared" si="57"/>
        <v>13182.006992000001</v>
      </c>
      <c r="S64" s="182">
        <f t="shared" ref="S64:S70" si="67">Q64+R64</f>
        <v>42978.586992000004</v>
      </c>
      <c r="T64" s="182">
        <f t="shared" si="58"/>
        <v>1004.0619920000026</v>
      </c>
      <c r="U64" s="182">
        <f t="shared" si="59"/>
        <v>2.3920746976886638</v>
      </c>
    </row>
    <row r="65" spans="1:21" x14ac:dyDescent="0.25">
      <c r="A65" s="55" t="s">
        <v>4</v>
      </c>
      <c r="B65" s="56">
        <f>28100/2</f>
        <v>14050</v>
      </c>
      <c r="C65" s="53">
        <f t="shared" si="60"/>
        <v>31844.325000000004</v>
      </c>
      <c r="D65" s="53">
        <f>B65+C65</f>
        <v>45894.325000000004</v>
      </c>
      <c r="E65" s="198" t="s">
        <v>25</v>
      </c>
      <c r="F65" s="198" t="s">
        <v>25</v>
      </c>
      <c r="G65" s="198" t="s">
        <v>25</v>
      </c>
      <c r="H65" s="198" t="s">
        <v>25</v>
      </c>
      <c r="I65" s="75">
        <v>2.5503</v>
      </c>
      <c r="J65" s="181">
        <f t="shared" si="61"/>
        <v>35831.715000000004</v>
      </c>
      <c r="K65" s="182">
        <f t="shared" si="62"/>
        <v>15851.950716000003</v>
      </c>
      <c r="L65" s="182">
        <f t="shared" si="63"/>
        <v>51683.665716000003</v>
      </c>
      <c r="M65" s="182">
        <f t="shared" si="64"/>
        <v>5789.3407159999988</v>
      </c>
      <c r="N65" s="182">
        <f t="shared" si="65"/>
        <v>12.614502372570024</v>
      </c>
      <c r="P65">
        <v>131.88</v>
      </c>
      <c r="Q65" s="181">
        <f t="shared" si="66"/>
        <v>32579.14</v>
      </c>
      <c r="R65" s="182">
        <f t="shared" si="57"/>
        <v>14413.011536</v>
      </c>
      <c r="S65" s="182">
        <f t="shared" si="67"/>
        <v>46992.151535999998</v>
      </c>
      <c r="T65" s="182">
        <f t="shared" si="58"/>
        <v>1097.8265359999932</v>
      </c>
      <c r="U65" s="182">
        <f t="shared" si="59"/>
        <v>2.3920746976886424</v>
      </c>
    </row>
    <row r="66" spans="1:21" x14ac:dyDescent="0.25">
      <c r="A66" s="55" t="s">
        <v>5</v>
      </c>
      <c r="B66" s="56">
        <f>31500/2</f>
        <v>15750</v>
      </c>
      <c r="C66" s="53">
        <f t="shared" si="60"/>
        <v>35697.375</v>
      </c>
      <c r="D66" s="53">
        <f t="shared" ref="D66:D70" si="68">B66+C66</f>
        <v>51447.375</v>
      </c>
      <c r="E66" s="198" t="s">
        <v>25</v>
      </c>
      <c r="F66" s="198" t="s">
        <v>25</v>
      </c>
      <c r="G66" s="198" t="s">
        <v>25</v>
      </c>
      <c r="H66" s="198" t="s">
        <v>25</v>
      </c>
      <c r="I66" s="75">
        <v>2.5503</v>
      </c>
      <c r="J66" s="181">
        <f t="shared" si="61"/>
        <v>40167.224999999999</v>
      </c>
      <c r="K66" s="182">
        <f t="shared" si="62"/>
        <v>17769.980339999998</v>
      </c>
      <c r="L66" s="182">
        <f t="shared" si="63"/>
        <v>57937.20534</v>
      </c>
      <c r="M66" s="182">
        <f t="shared" si="64"/>
        <v>6489.8303400000004</v>
      </c>
      <c r="N66" s="182">
        <f t="shared" si="65"/>
        <v>12.61450237257003</v>
      </c>
      <c r="P66">
        <v>131.88</v>
      </c>
      <c r="Q66" s="181">
        <f t="shared" si="66"/>
        <v>36521.1</v>
      </c>
      <c r="R66" s="182">
        <f t="shared" si="57"/>
        <v>16156.934639999999</v>
      </c>
      <c r="S66" s="182">
        <f t="shared" si="67"/>
        <v>52678.034639999998</v>
      </c>
      <c r="T66" s="182">
        <f t="shared" si="58"/>
        <v>1230.659639999998</v>
      </c>
      <c r="U66" s="182">
        <f t="shared" si="59"/>
        <v>2.3920746976886536</v>
      </c>
    </row>
    <row r="67" spans="1:21" x14ac:dyDescent="0.25">
      <c r="A67" s="55" t="s">
        <v>6</v>
      </c>
      <c r="B67" s="56">
        <f>36200/2</f>
        <v>18100</v>
      </c>
      <c r="C67" s="53">
        <f t="shared" si="60"/>
        <v>41023.65</v>
      </c>
      <c r="D67" s="53">
        <f t="shared" si="68"/>
        <v>59123.65</v>
      </c>
      <c r="E67" s="198" t="s">
        <v>25</v>
      </c>
      <c r="F67" s="198" t="s">
        <v>25</v>
      </c>
      <c r="G67" s="198" t="s">
        <v>25</v>
      </c>
      <c r="H67" s="198" t="s">
        <v>25</v>
      </c>
      <c r="I67" s="75">
        <v>2.5503</v>
      </c>
      <c r="J67" s="181">
        <f t="shared" si="61"/>
        <v>46160.43</v>
      </c>
      <c r="K67" s="182">
        <f t="shared" si="62"/>
        <v>20421.374232000002</v>
      </c>
      <c r="L67" s="182">
        <f t="shared" si="63"/>
        <v>66581.804231999995</v>
      </c>
      <c r="M67" s="182">
        <f t="shared" si="64"/>
        <v>7458.1542319999935</v>
      </c>
      <c r="N67" s="182">
        <f t="shared" si="65"/>
        <v>12.614502372570019</v>
      </c>
      <c r="P67">
        <v>131.88</v>
      </c>
      <c r="Q67" s="181">
        <f t="shared" si="66"/>
        <v>41970.28</v>
      </c>
      <c r="R67" s="182">
        <f t="shared" si="57"/>
        <v>18567.651871999999</v>
      </c>
      <c r="S67" s="182">
        <f t="shared" si="67"/>
        <v>60537.931872000001</v>
      </c>
      <c r="T67" s="182">
        <f t="shared" si="58"/>
        <v>1414.2818719999996</v>
      </c>
      <c r="U67" s="182">
        <f t="shared" si="59"/>
        <v>2.3920746976886567</v>
      </c>
    </row>
    <row r="68" spans="1:21" x14ac:dyDescent="0.25">
      <c r="A68" s="55" t="s">
        <v>7</v>
      </c>
      <c r="B68" s="56">
        <f>40400/2</f>
        <v>20200</v>
      </c>
      <c r="C68" s="53">
        <f t="shared" si="60"/>
        <v>45783.3</v>
      </c>
      <c r="D68" s="53">
        <f t="shared" si="68"/>
        <v>65983.3</v>
      </c>
      <c r="E68" s="198" t="s">
        <v>25</v>
      </c>
      <c r="F68" s="198" t="s">
        <v>25</v>
      </c>
      <c r="G68" s="198" t="s">
        <v>25</v>
      </c>
      <c r="H68" s="198" t="s">
        <v>25</v>
      </c>
      <c r="I68" s="75">
        <v>2.5503</v>
      </c>
      <c r="J68" s="181">
        <f t="shared" si="61"/>
        <v>51516.06</v>
      </c>
      <c r="K68" s="182">
        <f t="shared" si="62"/>
        <v>22790.704944000001</v>
      </c>
      <c r="L68" s="182">
        <f t="shared" si="63"/>
        <v>74306.764943999995</v>
      </c>
      <c r="M68" s="182">
        <f t="shared" si="64"/>
        <v>8323.4649439999921</v>
      </c>
      <c r="N68" s="182">
        <f t="shared" si="65"/>
        <v>12.614502372570016</v>
      </c>
      <c r="P68">
        <v>131.88</v>
      </c>
      <c r="Q68" s="181">
        <f t="shared" si="66"/>
        <v>46839.759999999995</v>
      </c>
      <c r="R68" s="182">
        <f t="shared" si="57"/>
        <v>20721.909823999998</v>
      </c>
      <c r="S68" s="182">
        <f t="shared" si="67"/>
        <v>67561.669823999997</v>
      </c>
      <c r="T68" s="182">
        <f t="shared" si="58"/>
        <v>1578.369823999994</v>
      </c>
      <c r="U68" s="182">
        <f t="shared" si="59"/>
        <v>2.3920746976886487</v>
      </c>
    </row>
    <row r="69" spans="1:21" x14ac:dyDescent="0.25">
      <c r="A69" s="55" t="s">
        <v>8</v>
      </c>
      <c r="B69" s="56">
        <f>46800/2</f>
        <v>23400</v>
      </c>
      <c r="C69" s="53">
        <f t="shared" si="60"/>
        <v>53036.100000000006</v>
      </c>
      <c r="D69" s="53">
        <f t="shared" si="68"/>
        <v>76436.100000000006</v>
      </c>
      <c r="E69" s="198" t="s">
        <v>25</v>
      </c>
      <c r="F69" s="198" t="s">
        <v>25</v>
      </c>
      <c r="G69" s="198" t="s">
        <v>25</v>
      </c>
      <c r="H69" s="198" t="s">
        <v>25</v>
      </c>
      <c r="I69" s="75">
        <v>2.5503</v>
      </c>
      <c r="J69" s="181">
        <f t="shared" si="61"/>
        <v>59677.02</v>
      </c>
      <c r="K69" s="182">
        <f t="shared" si="62"/>
        <v>26401.113647999999</v>
      </c>
      <c r="L69" s="182">
        <f t="shared" si="63"/>
        <v>86078.133647999988</v>
      </c>
      <c r="M69" s="182">
        <f t="shared" si="64"/>
        <v>9642.0336479999823</v>
      </c>
      <c r="N69" s="182">
        <f t="shared" si="65"/>
        <v>12.614502372570005</v>
      </c>
      <c r="P69">
        <v>131.88</v>
      </c>
      <c r="Q69" s="181">
        <f t="shared" si="66"/>
        <v>54259.92</v>
      </c>
      <c r="R69" s="182">
        <f t="shared" si="57"/>
        <v>24004.588608000002</v>
      </c>
      <c r="S69" s="182">
        <f t="shared" si="67"/>
        <v>78264.508608000004</v>
      </c>
      <c r="T69" s="182">
        <f t="shared" si="58"/>
        <v>1828.4086079999979</v>
      </c>
      <c r="U69" s="182">
        <f t="shared" si="59"/>
        <v>2.3920746976886549</v>
      </c>
    </row>
    <row r="70" spans="1:21" x14ac:dyDescent="0.25">
      <c r="A70" s="55" t="s">
        <v>9</v>
      </c>
      <c r="B70" s="56">
        <f>52000/2</f>
        <v>26000</v>
      </c>
      <c r="C70" s="53">
        <f t="shared" si="60"/>
        <v>58929.000000000007</v>
      </c>
      <c r="D70" s="53">
        <f t="shared" si="68"/>
        <v>84929</v>
      </c>
      <c r="E70" s="198" t="s">
        <v>25</v>
      </c>
      <c r="F70" s="198" t="s">
        <v>25</v>
      </c>
      <c r="G70" s="198" t="s">
        <v>25</v>
      </c>
      <c r="H70" s="198" t="s">
        <v>25</v>
      </c>
      <c r="I70" s="75">
        <v>2.5503</v>
      </c>
      <c r="J70" s="181">
        <f t="shared" si="61"/>
        <v>66307.8</v>
      </c>
      <c r="K70" s="182">
        <f t="shared" si="62"/>
        <v>29334.570720000003</v>
      </c>
      <c r="L70" s="182">
        <f t="shared" si="63"/>
        <v>95642.370720000006</v>
      </c>
      <c r="M70" s="182">
        <f t="shared" si="64"/>
        <v>10713.370720000006</v>
      </c>
      <c r="N70" s="182">
        <f t="shared" si="65"/>
        <v>12.614502372570035</v>
      </c>
      <c r="P70">
        <v>131.88</v>
      </c>
      <c r="Q70" s="181">
        <f t="shared" si="66"/>
        <v>60288.800000000003</v>
      </c>
      <c r="R70" s="182">
        <f t="shared" si="57"/>
        <v>26671.765120000004</v>
      </c>
      <c r="S70" s="182">
        <f t="shared" si="67"/>
        <v>86960.565120000014</v>
      </c>
      <c r="T70" s="182">
        <f t="shared" si="58"/>
        <v>2031.5651200000138</v>
      </c>
      <c r="U70" s="182">
        <f t="shared" si="59"/>
        <v>2.392074697688674</v>
      </c>
    </row>
    <row r="72" spans="1:21" ht="15.75" x14ac:dyDescent="0.25">
      <c r="A72" s="191" t="s">
        <v>166</v>
      </c>
    </row>
    <row r="73" spans="1:21" ht="30" x14ac:dyDescent="0.25">
      <c r="A73" s="230" t="s">
        <v>54</v>
      </c>
      <c r="B73" s="230"/>
      <c r="C73" s="65" t="s">
        <v>169</v>
      </c>
      <c r="D73" s="197" t="s">
        <v>170</v>
      </c>
      <c r="E73" s="195" t="s">
        <v>168</v>
      </c>
      <c r="F73" s="63" t="s">
        <v>53</v>
      </c>
      <c r="G73" s="65" t="s">
        <v>57</v>
      </c>
    </row>
    <row r="74" spans="1:21" x14ac:dyDescent="0.25">
      <c r="A74" s="228" t="s">
        <v>172</v>
      </c>
      <c r="B74" s="228"/>
      <c r="C74" s="63">
        <v>8881</v>
      </c>
      <c r="D74" s="195">
        <v>4440</v>
      </c>
      <c r="E74" s="167">
        <v>0.1</v>
      </c>
      <c r="F74" s="63">
        <v>1799</v>
      </c>
      <c r="G74" s="67">
        <v>1.1100000000000001</v>
      </c>
      <c r="P74" s="188">
        <f>6352-D74</f>
        <v>1912</v>
      </c>
      <c r="Q74" s="189">
        <f>P74/4</f>
        <v>478</v>
      </c>
      <c r="R74" s="190">
        <f>Q74*0.1</f>
        <v>47.800000000000004</v>
      </c>
    </row>
    <row r="75" spans="1:21" x14ac:dyDescent="0.25">
      <c r="A75" s="60" t="s">
        <v>14</v>
      </c>
      <c r="B75" s="59" t="s">
        <v>10</v>
      </c>
      <c r="C75" s="60" t="s">
        <v>11</v>
      </c>
      <c r="D75" s="60" t="s">
        <v>1</v>
      </c>
      <c r="E75" s="60" t="s">
        <v>12</v>
      </c>
      <c r="F75" s="60" t="s">
        <v>1</v>
      </c>
      <c r="G75" s="60" t="s">
        <v>0</v>
      </c>
      <c r="H75" s="179" t="s">
        <v>150</v>
      </c>
      <c r="I75" s="48" t="s">
        <v>151</v>
      </c>
      <c r="J75" s="48" t="s">
        <v>152</v>
      </c>
      <c r="K75" s="48" t="s">
        <v>113</v>
      </c>
      <c r="L75" s="48" t="s">
        <v>1</v>
      </c>
      <c r="M75" s="48" t="s">
        <v>153</v>
      </c>
      <c r="N75" s="48" t="s">
        <v>154</v>
      </c>
      <c r="P75" s="75" t="s">
        <v>157</v>
      </c>
      <c r="Q75" s="48" t="s">
        <v>156</v>
      </c>
      <c r="R75" s="184" t="s">
        <v>158</v>
      </c>
      <c r="S75" s="179" t="s">
        <v>110</v>
      </c>
      <c r="T75" s="75" t="s">
        <v>153</v>
      </c>
      <c r="U75" s="75" t="s">
        <v>159</v>
      </c>
    </row>
    <row r="76" spans="1:21" x14ac:dyDescent="0.25">
      <c r="A76" s="55" t="s">
        <v>2</v>
      </c>
      <c r="B76" s="56">
        <f>31540/2</f>
        <v>15770</v>
      </c>
      <c r="C76" s="53">
        <f>B76*$G$74</f>
        <v>17504.7</v>
      </c>
      <c r="D76" s="53">
        <f>B76+C76</f>
        <v>33274.699999999997</v>
      </c>
      <c r="E76" s="198" t="s">
        <v>25</v>
      </c>
      <c r="F76" s="198" t="s">
        <v>25</v>
      </c>
      <c r="G76" s="198" t="s">
        <v>25</v>
      </c>
      <c r="H76" s="198" t="s">
        <v>25</v>
      </c>
      <c r="I76" s="75">
        <v>1.5519000000000001</v>
      </c>
      <c r="J76" s="181">
        <f>B76*I76</f>
        <v>24473.463</v>
      </c>
      <c r="K76" s="182">
        <f>J76*$K$7</f>
        <v>10827.060031200001</v>
      </c>
      <c r="L76" s="182">
        <f>J76+K76</f>
        <v>35300.523031199999</v>
      </c>
      <c r="M76" s="182">
        <f>L76-D76</f>
        <v>2025.8230312000014</v>
      </c>
      <c r="N76" s="182">
        <f>M76/D76*100</f>
        <v>6.0881781990521375</v>
      </c>
      <c r="P76" s="75">
        <v>47.8</v>
      </c>
      <c r="Q76" s="181">
        <f>B76+(B76*P76/100)</f>
        <v>23308.06</v>
      </c>
      <c r="R76" s="182">
        <f t="shared" ref="R76:R83" si="69">Q76*$U$6</f>
        <v>10311.485744000001</v>
      </c>
      <c r="S76" s="182">
        <f>Q76+R76</f>
        <v>33619.545744000003</v>
      </c>
      <c r="T76" s="182">
        <f t="shared" ref="T76" si="70">S76-D76</f>
        <v>344.84574400000565</v>
      </c>
      <c r="U76" s="182">
        <f t="shared" ref="U76" si="71">T76/D76*100</f>
        <v>1.0363601895734769</v>
      </c>
    </row>
    <row r="77" spans="1:21" x14ac:dyDescent="0.25">
      <c r="A77" s="55" t="s">
        <v>3</v>
      </c>
      <c r="B77" s="56">
        <f>42020/2</f>
        <v>21010</v>
      </c>
      <c r="C77" s="53">
        <f t="shared" ref="C77:C83" si="72">B77*$G$74</f>
        <v>23321.100000000002</v>
      </c>
      <c r="D77" s="53">
        <f>B77+C77</f>
        <v>44331.100000000006</v>
      </c>
      <c r="E77" s="198" t="s">
        <v>25</v>
      </c>
      <c r="F77" s="198" t="s">
        <v>25</v>
      </c>
      <c r="G77" s="198" t="s">
        <v>25</v>
      </c>
      <c r="H77" s="198" t="s">
        <v>25</v>
      </c>
      <c r="I77" s="75">
        <v>1.5519000000000001</v>
      </c>
      <c r="J77" s="181">
        <f t="shared" ref="J77:J83" si="73">B77*I77</f>
        <v>32605.419000000002</v>
      </c>
      <c r="K77" s="182">
        <f t="shared" ref="K77:K83" si="74">J77*$K$7</f>
        <v>14424.637365600001</v>
      </c>
      <c r="L77" s="182">
        <f t="shared" ref="L77:L83" si="75">J77+K77</f>
        <v>47030.056365600001</v>
      </c>
      <c r="M77" s="182">
        <f t="shared" ref="M77:M83" si="76">L77-D77</f>
        <v>2698.9563655999955</v>
      </c>
      <c r="N77" s="182">
        <f t="shared" ref="N77:N83" si="77">M77/D77*100</f>
        <v>6.0881781990521215</v>
      </c>
      <c r="P77" s="75">
        <v>47.8</v>
      </c>
      <c r="Q77" s="181">
        <f t="shared" ref="Q77:Q83" si="78">B77+(B77*P77/100)</f>
        <v>31052.78</v>
      </c>
      <c r="R77" s="182">
        <f t="shared" si="69"/>
        <v>13737.749872</v>
      </c>
      <c r="S77" s="182">
        <f t="shared" ref="S77:S83" si="79">Q77+R77</f>
        <v>44790.529871999999</v>
      </c>
      <c r="T77" s="182">
        <f t="shared" ref="T77:T83" si="80">S77-D77</f>
        <v>459.42987199999334</v>
      </c>
      <c r="U77" s="182">
        <f t="shared" ref="U77:U83" si="81">T77/D77*100</f>
        <v>1.0363601895734444</v>
      </c>
    </row>
    <row r="78" spans="1:21" x14ac:dyDescent="0.25">
      <c r="A78" s="55" t="s">
        <v>4</v>
      </c>
      <c r="B78" s="56">
        <f>45950/2</f>
        <v>22975</v>
      </c>
      <c r="C78" s="53">
        <f t="shared" si="72"/>
        <v>25502.250000000004</v>
      </c>
      <c r="D78" s="53">
        <f>B78+C78</f>
        <v>48477.25</v>
      </c>
      <c r="E78" s="198" t="s">
        <v>25</v>
      </c>
      <c r="F78" s="198" t="s">
        <v>25</v>
      </c>
      <c r="G78" s="198" t="s">
        <v>25</v>
      </c>
      <c r="H78" s="198" t="s">
        <v>25</v>
      </c>
      <c r="I78" s="75">
        <v>1.5519000000000001</v>
      </c>
      <c r="J78" s="181">
        <f t="shared" si="73"/>
        <v>35654.902500000004</v>
      </c>
      <c r="K78" s="182">
        <f t="shared" si="74"/>
        <v>15773.728866000003</v>
      </c>
      <c r="L78" s="182">
        <f t="shared" si="75"/>
        <v>51428.631366000009</v>
      </c>
      <c r="M78" s="182">
        <f t="shared" si="76"/>
        <v>2951.3813660000087</v>
      </c>
      <c r="N78" s="182">
        <f t="shared" si="77"/>
        <v>6.0881781990521509</v>
      </c>
      <c r="P78" s="75">
        <v>47.8</v>
      </c>
      <c r="Q78" s="181">
        <f t="shared" si="78"/>
        <v>33957.050000000003</v>
      </c>
      <c r="R78" s="182">
        <f t="shared" si="69"/>
        <v>15022.598920000002</v>
      </c>
      <c r="S78" s="182">
        <f t="shared" si="79"/>
        <v>48979.648920000007</v>
      </c>
      <c r="T78" s="182">
        <f t="shared" si="80"/>
        <v>502.39892000000691</v>
      </c>
      <c r="U78" s="182">
        <f t="shared" si="81"/>
        <v>1.036360189573474</v>
      </c>
    </row>
    <row r="79" spans="1:21" x14ac:dyDescent="0.25">
      <c r="A79" s="55" t="s">
        <v>5</v>
      </c>
      <c r="B79" s="56">
        <f>51490/2</f>
        <v>25745</v>
      </c>
      <c r="C79" s="53">
        <f t="shared" si="72"/>
        <v>28576.95</v>
      </c>
      <c r="D79" s="53">
        <f t="shared" ref="D79:D83" si="82">B79+C79</f>
        <v>54321.95</v>
      </c>
      <c r="E79" s="198" t="s">
        <v>25</v>
      </c>
      <c r="F79" s="198" t="s">
        <v>25</v>
      </c>
      <c r="G79" s="198" t="s">
        <v>25</v>
      </c>
      <c r="H79" s="198" t="s">
        <v>25</v>
      </c>
      <c r="I79" s="75">
        <v>1.5519000000000001</v>
      </c>
      <c r="J79" s="181">
        <f t="shared" si="73"/>
        <v>39953.665500000003</v>
      </c>
      <c r="K79" s="182">
        <f t="shared" si="74"/>
        <v>17675.501617200003</v>
      </c>
      <c r="L79" s="182">
        <f t="shared" si="75"/>
        <v>57629.167117200006</v>
      </c>
      <c r="M79" s="182">
        <f t="shared" si="76"/>
        <v>3307.2171172000089</v>
      </c>
      <c r="N79" s="182">
        <f t="shared" si="77"/>
        <v>6.0881781990521491</v>
      </c>
      <c r="P79" s="75">
        <v>47.8</v>
      </c>
      <c r="Q79" s="181">
        <f t="shared" si="78"/>
        <v>38051.11</v>
      </c>
      <c r="R79" s="182">
        <f t="shared" si="69"/>
        <v>16833.811064000001</v>
      </c>
      <c r="S79" s="182">
        <f t="shared" si="79"/>
        <v>54884.921064000002</v>
      </c>
      <c r="T79" s="182">
        <f t="shared" si="80"/>
        <v>562.97106400000484</v>
      </c>
      <c r="U79" s="182">
        <f t="shared" si="81"/>
        <v>1.0363601895734686</v>
      </c>
    </row>
    <row r="80" spans="1:21" x14ac:dyDescent="0.25">
      <c r="A80" s="55" t="s">
        <v>6</v>
      </c>
      <c r="B80" s="56">
        <f>59170/2</f>
        <v>29585</v>
      </c>
      <c r="C80" s="53">
        <f t="shared" si="72"/>
        <v>32839.350000000006</v>
      </c>
      <c r="D80" s="53">
        <f t="shared" si="82"/>
        <v>62424.350000000006</v>
      </c>
      <c r="E80" s="198" t="s">
        <v>25</v>
      </c>
      <c r="F80" s="198" t="s">
        <v>25</v>
      </c>
      <c r="G80" s="198" t="s">
        <v>25</v>
      </c>
      <c r="H80" s="198" t="s">
        <v>25</v>
      </c>
      <c r="I80" s="75">
        <v>1.5519000000000001</v>
      </c>
      <c r="J80" s="181">
        <f t="shared" si="73"/>
        <v>45912.961500000005</v>
      </c>
      <c r="K80" s="182">
        <f t="shared" si="74"/>
        <v>20311.894167600003</v>
      </c>
      <c r="L80" s="182">
        <f t="shared" si="75"/>
        <v>66224.855667600001</v>
      </c>
      <c r="M80" s="182">
        <f t="shared" si="76"/>
        <v>3800.5056675999949</v>
      </c>
      <c r="N80" s="182">
        <f t="shared" si="77"/>
        <v>6.0881781990521233</v>
      </c>
      <c r="P80" s="75">
        <v>47.8</v>
      </c>
      <c r="Q80" s="181">
        <f t="shared" si="78"/>
        <v>43726.63</v>
      </c>
      <c r="R80" s="182">
        <f t="shared" si="69"/>
        <v>19344.661111999998</v>
      </c>
      <c r="S80" s="182">
        <f t="shared" si="79"/>
        <v>63071.291111999992</v>
      </c>
      <c r="T80" s="182">
        <f t="shared" si="80"/>
        <v>646.94111199998588</v>
      </c>
      <c r="U80" s="182">
        <f t="shared" si="81"/>
        <v>1.0363601895734371</v>
      </c>
    </row>
    <row r="81" spans="1:21" x14ac:dyDescent="0.25">
      <c r="A81" s="55" t="s">
        <v>7</v>
      </c>
      <c r="B81" s="56">
        <f>66070/2</f>
        <v>33035</v>
      </c>
      <c r="C81" s="53">
        <f t="shared" si="72"/>
        <v>36668.850000000006</v>
      </c>
      <c r="D81" s="53">
        <f t="shared" si="82"/>
        <v>69703.850000000006</v>
      </c>
      <c r="E81" s="198" t="s">
        <v>25</v>
      </c>
      <c r="F81" s="198" t="s">
        <v>25</v>
      </c>
      <c r="G81" s="198" t="s">
        <v>25</v>
      </c>
      <c r="H81" s="198" t="s">
        <v>25</v>
      </c>
      <c r="I81" s="75">
        <v>1.5519000000000001</v>
      </c>
      <c r="J81" s="181">
        <f t="shared" si="73"/>
        <v>51267.016500000005</v>
      </c>
      <c r="K81" s="182">
        <f t="shared" si="74"/>
        <v>22680.528099600004</v>
      </c>
      <c r="L81" s="182">
        <f t="shared" si="75"/>
        <v>73947.544599600005</v>
      </c>
      <c r="M81" s="182">
        <f t="shared" si="76"/>
        <v>4243.6945995999995</v>
      </c>
      <c r="N81" s="182">
        <f t="shared" si="77"/>
        <v>6.0881781990521313</v>
      </c>
      <c r="P81" s="75">
        <v>47.8</v>
      </c>
      <c r="Q81" s="181">
        <f t="shared" si="78"/>
        <v>48825.729999999996</v>
      </c>
      <c r="R81" s="182">
        <f t="shared" si="69"/>
        <v>21600.502951999999</v>
      </c>
      <c r="S81" s="182">
        <f t="shared" si="79"/>
        <v>70426.232951999991</v>
      </c>
      <c r="T81" s="182">
        <f t="shared" si="80"/>
        <v>722.38295199998538</v>
      </c>
      <c r="U81" s="182">
        <f t="shared" si="81"/>
        <v>1.0363601895734387</v>
      </c>
    </row>
    <row r="82" spans="1:21" x14ac:dyDescent="0.25">
      <c r="A82" s="55" t="s">
        <v>8</v>
      </c>
      <c r="B82" s="56">
        <f>76520/2</f>
        <v>38260</v>
      </c>
      <c r="C82" s="53">
        <f t="shared" si="72"/>
        <v>42468.600000000006</v>
      </c>
      <c r="D82" s="53">
        <f t="shared" si="82"/>
        <v>80728.600000000006</v>
      </c>
      <c r="E82" s="198" t="s">
        <v>25</v>
      </c>
      <c r="F82" s="198" t="s">
        <v>25</v>
      </c>
      <c r="G82" s="198" t="s">
        <v>25</v>
      </c>
      <c r="H82" s="198" t="s">
        <v>25</v>
      </c>
      <c r="I82" s="75">
        <v>1.5519000000000001</v>
      </c>
      <c r="J82" s="181">
        <f t="shared" si="73"/>
        <v>59375.694000000003</v>
      </c>
      <c r="K82" s="182">
        <f t="shared" si="74"/>
        <v>26267.807025600003</v>
      </c>
      <c r="L82" s="182">
        <f t="shared" si="75"/>
        <v>85643.50102560001</v>
      </c>
      <c r="M82" s="182">
        <f t="shared" si="76"/>
        <v>4914.9010256000038</v>
      </c>
      <c r="N82" s="182">
        <f t="shared" si="77"/>
        <v>6.0881781990521366</v>
      </c>
      <c r="P82" s="75">
        <v>47.8</v>
      </c>
      <c r="Q82" s="181">
        <f t="shared" si="78"/>
        <v>56548.28</v>
      </c>
      <c r="R82" s="182">
        <f t="shared" si="69"/>
        <v>25016.959072000001</v>
      </c>
      <c r="S82" s="182">
        <f t="shared" si="79"/>
        <v>81565.239071999997</v>
      </c>
      <c r="T82" s="182">
        <f t="shared" si="80"/>
        <v>836.63907199999085</v>
      </c>
      <c r="U82" s="182">
        <f t="shared" si="81"/>
        <v>1.0363601895734482</v>
      </c>
    </row>
    <row r="83" spans="1:21" x14ac:dyDescent="0.25">
      <c r="A83" s="55" t="s">
        <v>9</v>
      </c>
      <c r="B83" s="56">
        <f>85000/2</f>
        <v>42500</v>
      </c>
      <c r="C83" s="53">
        <f t="shared" si="72"/>
        <v>47175.000000000007</v>
      </c>
      <c r="D83" s="53">
        <f t="shared" si="82"/>
        <v>89675</v>
      </c>
      <c r="E83" s="198" t="s">
        <v>25</v>
      </c>
      <c r="F83" s="198" t="s">
        <v>25</v>
      </c>
      <c r="G83" s="198" t="s">
        <v>25</v>
      </c>
      <c r="H83" s="198" t="s">
        <v>25</v>
      </c>
      <c r="I83" s="75">
        <v>1.5519000000000001</v>
      </c>
      <c r="J83" s="181">
        <f t="shared" si="73"/>
        <v>65955.75</v>
      </c>
      <c r="K83" s="182">
        <f t="shared" si="74"/>
        <v>29178.823800000002</v>
      </c>
      <c r="L83" s="182">
        <f t="shared" si="75"/>
        <v>95134.573799999998</v>
      </c>
      <c r="M83" s="182">
        <f t="shared" si="76"/>
        <v>5459.5737999999983</v>
      </c>
      <c r="N83" s="182">
        <f t="shared" si="77"/>
        <v>6.0881781990521304</v>
      </c>
      <c r="P83" s="75">
        <v>47.8</v>
      </c>
      <c r="Q83" s="181">
        <f t="shared" si="78"/>
        <v>62815</v>
      </c>
      <c r="R83" s="182">
        <f t="shared" si="69"/>
        <v>27789.356</v>
      </c>
      <c r="S83" s="182">
        <f t="shared" si="79"/>
        <v>90604.356</v>
      </c>
      <c r="T83" s="182">
        <f t="shared" si="80"/>
        <v>929.35599999999977</v>
      </c>
      <c r="U83" s="182">
        <f t="shared" si="81"/>
        <v>1.0363601895734593</v>
      </c>
    </row>
    <row r="85" spans="1:21" ht="15.75" x14ac:dyDescent="0.25">
      <c r="A85" s="191" t="s">
        <v>167</v>
      </c>
    </row>
    <row r="86" spans="1:21" ht="30" x14ac:dyDescent="0.25">
      <c r="A86" s="230" t="s">
        <v>54</v>
      </c>
      <c r="B86" s="230"/>
      <c r="C86" s="65" t="s">
        <v>169</v>
      </c>
      <c r="D86" s="197" t="s">
        <v>170</v>
      </c>
      <c r="E86" s="196" t="s">
        <v>168</v>
      </c>
      <c r="F86" s="63" t="s">
        <v>53</v>
      </c>
      <c r="G86" s="65" t="s">
        <v>57</v>
      </c>
    </row>
    <row r="87" spans="1:21" x14ac:dyDescent="0.25">
      <c r="A87" s="228" t="s">
        <v>13</v>
      </c>
      <c r="B87" s="228"/>
      <c r="C87" s="63">
        <v>8881</v>
      </c>
      <c r="D87" s="195">
        <v>6352</v>
      </c>
      <c r="E87" s="167">
        <v>7.0000000000000007E-2</v>
      </c>
      <c r="F87" s="63">
        <v>1799</v>
      </c>
      <c r="G87" s="67">
        <v>0.44240000000000002</v>
      </c>
    </row>
    <row r="88" spans="1:21" x14ac:dyDescent="0.25">
      <c r="A88" s="60" t="s">
        <v>14</v>
      </c>
      <c r="B88" s="59" t="s">
        <v>10</v>
      </c>
      <c r="C88" s="60" t="s">
        <v>11</v>
      </c>
      <c r="D88" s="60" t="s">
        <v>1</v>
      </c>
      <c r="E88" s="60" t="s">
        <v>12</v>
      </c>
      <c r="F88" s="60" t="s">
        <v>1</v>
      </c>
      <c r="G88" s="60" t="s">
        <v>0</v>
      </c>
    </row>
    <row r="89" spans="1:21" x14ac:dyDescent="0.25">
      <c r="A89" s="55" t="s">
        <v>2</v>
      </c>
      <c r="B89" s="56">
        <f>47920/2</f>
        <v>23960</v>
      </c>
      <c r="C89" s="53">
        <f>B89*$G$87</f>
        <v>10599.904</v>
      </c>
      <c r="D89" s="53">
        <f>B89+C89</f>
        <v>34559.904000000002</v>
      </c>
      <c r="E89" s="198" t="s">
        <v>25</v>
      </c>
      <c r="F89" s="198" t="s">
        <v>25</v>
      </c>
      <c r="G89" s="198" t="s">
        <v>25</v>
      </c>
    </row>
    <row r="90" spans="1:21" x14ac:dyDescent="0.25">
      <c r="A90" s="55" t="s">
        <v>3</v>
      </c>
      <c r="B90" s="56">
        <f>63840/2</f>
        <v>31920</v>
      </c>
      <c r="C90" s="53">
        <f t="shared" ref="C90:C96" si="83">B90*$G$87</f>
        <v>14121.408000000001</v>
      </c>
      <c r="D90" s="53">
        <f>B90+C90</f>
        <v>46041.408000000003</v>
      </c>
      <c r="E90" s="198" t="s">
        <v>25</v>
      </c>
      <c r="F90" s="198" t="s">
        <v>25</v>
      </c>
      <c r="G90" s="198" t="s">
        <v>25</v>
      </c>
    </row>
    <row r="91" spans="1:21" x14ac:dyDescent="0.25">
      <c r="A91" s="55" t="s">
        <v>4</v>
      </c>
      <c r="B91" s="56">
        <f>69810/2</f>
        <v>34905</v>
      </c>
      <c r="C91" s="53">
        <f t="shared" si="83"/>
        <v>15441.972</v>
      </c>
      <c r="D91" s="53">
        <f>B91+C91</f>
        <v>50346.972000000002</v>
      </c>
      <c r="E91" s="198" t="s">
        <v>25</v>
      </c>
      <c r="F91" s="198" t="s">
        <v>25</v>
      </c>
      <c r="G91" s="198" t="s">
        <v>25</v>
      </c>
    </row>
    <row r="92" spans="1:21" x14ac:dyDescent="0.25">
      <c r="A92" s="55" t="s">
        <v>5</v>
      </c>
      <c r="B92" s="56">
        <f>78230/2</f>
        <v>39115</v>
      </c>
      <c r="C92" s="53">
        <f t="shared" si="83"/>
        <v>17304.476000000002</v>
      </c>
      <c r="D92" s="53">
        <f t="shared" ref="D92:D96" si="84">B92+C92</f>
        <v>56419.476000000002</v>
      </c>
      <c r="E92" s="198" t="s">
        <v>25</v>
      </c>
      <c r="F92" s="198" t="s">
        <v>25</v>
      </c>
      <c r="G92" s="198" t="s">
        <v>25</v>
      </c>
    </row>
    <row r="93" spans="1:21" x14ac:dyDescent="0.25">
      <c r="A93" s="55" t="s">
        <v>6</v>
      </c>
      <c r="B93" s="56">
        <f>89890/2</f>
        <v>44945</v>
      </c>
      <c r="C93" s="53">
        <f t="shared" si="83"/>
        <v>19883.668000000001</v>
      </c>
      <c r="D93" s="53">
        <f t="shared" si="84"/>
        <v>64828.668000000005</v>
      </c>
      <c r="E93" s="198" t="s">
        <v>25</v>
      </c>
      <c r="F93" s="198" t="s">
        <v>25</v>
      </c>
      <c r="G93" s="198" t="s">
        <v>25</v>
      </c>
    </row>
    <row r="94" spans="1:21" x14ac:dyDescent="0.25">
      <c r="A94" s="55" t="s">
        <v>7</v>
      </c>
      <c r="B94" s="56">
        <f>100350/2</f>
        <v>50175</v>
      </c>
      <c r="C94" s="53">
        <f t="shared" si="83"/>
        <v>22197.420000000002</v>
      </c>
      <c r="D94" s="53">
        <f t="shared" si="84"/>
        <v>72372.42</v>
      </c>
      <c r="E94" s="198" t="s">
        <v>25</v>
      </c>
      <c r="F94" s="198" t="s">
        <v>25</v>
      </c>
      <c r="G94" s="198" t="s">
        <v>25</v>
      </c>
    </row>
    <row r="95" spans="1:21" x14ac:dyDescent="0.25">
      <c r="A95" s="55" t="s">
        <v>8</v>
      </c>
      <c r="B95" s="56">
        <f>116120/2</f>
        <v>58060</v>
      </c>
      <c r="C95" s="53">
        <f t="shared" si="83"/>
        <v>25685.744000000002</v>
      </c>
      <c r="D95" s="53">
        <f t="shared" si="84"/>
        <v>83745.744000000006</v>
      </c>
      <c r="E95" s="198" t="s">
        <v>25</v>
      </c>
      <c r="F95" s="198" t="s">
        <v>25</v>
      </c>
      <c r="G95" s="198" t="s">
        <v>25</v>
      </c>
    </row>
    <row r="96" spans="1:21" x14ac:dyDescent="0.25">
      <c r="A96" s="55" t="s">
        <v>9</v>
      </c>
      <c r="B96" s="56">
        <f>129000/2</f>
        <v>64500</v>
      </c>
      <c r="C96" s="53">
        <f t="shared" si="83"/>
        <v>28534.799999999999</v>
      </c>
      <c r="D96" s="53">
        <f t="shared" si="84"/>
        <v>93034.8</v>
      </c>
      <c r="E96" s="198" t="s">
        <v>25</v>
      </c>
      <c r="F96" s="198" t="s">
        <v>25</v>
      </c>
      <c r="G96" s="198" t="s">
        <v>25</v>
      </c>
    </row>
  </sheetData>
  <mergeCells count="17">
    <mergeCell ref="A1:G1"/>
    <mergeCell ref="A2:G3"/>
    <mergeCell ref="A6:B6"/>
    <mergeCell ref="A7:B7"/>
    <mergeCell ref="A19:B19"/>
    <mergeCell ref="A87:B87"/>
    <mergeCell ref="A74:B74"/>
    <mergeCell ref="P6:S6"/>
    <mergeCell ref="A86:B86"/>
    <mergeCell ref="A47:B47"/>
    <mergeCell ref="A48:B48"/>
    <mergeCell ref="A60:B60"/>
    <mergeCell ref="A61:B61"/>
    <mergeCell ref="A73:B73"/>
    <mergeCell ref="A32:B32"/>
    <mergeCell ref="A33:B33"/>
    <mergeCell ref="A20:B20"/>
  </mergeCells>
  <pageMargins left="0.25" right="0.25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1B35-1E25-41CF-91C7-6B542FDC4389}">
  <dimension ref="A1:V96"/>
  <sheetViews>
    <sheetView topLeftCell="A25" workbookViewId="0">
      <selection activeCell="N76" sqref="N76"/>
    </sheetView>
  </sheetViews>
  <sheetFormatPr defaultRowHeight="15" x14ac:dyDescent="0.25"/>
  <cols>
    <col min="1" max="1" width="11.28515625" customWidth="1"/>
    <col min="2" max="2" width="15.42578125" customWidth="1"/>
    <col min="3" max="3" width="15" customWidth="1"/>
    <col min="4" max="4" width="12" customWidth="1"/>
    <col min="5" max="5" width="13" customWidth="1"/>
    <col min="6" max="6" width="10.85546875" customWidth="1"/>
    <col min="7" max="7" width="11.28515625" customWidth="1"/>
    <col min="8" max="8" width="13.7109375" customWidth="1"/>
    <col min="9" max="9" width="9.140625" customWidth="1"/>
    <col min="11" max="11" width="13.5703125" customWidth="1"/>
    <col min="12" max="12" width="14.140625" customWidth="1"/>
    <col min="13" max="13" width="12.5703125" bestFit="1" customWidth="1"/>
  </cols>
  <sheetData>
    <row r="1" spans="1:22" ht="19.5" thickBot="1" x14ac:dyDescent="0.3">
      <c r="A1" s="231" t="s">
        <v>58</v>
      </c>
      <c r="B1" s="232"/>
      <c r="C1" s="232"/>
      <c r="D1" s="232"/>
      <c r="E1" s="232"/>
      <c r="F1" s="232"/>
      <c r="G1" s="233"/>
    </row>
    <row r="2" spans="1:22" x14ac:dyDescent="0.25">
      <c r="A2" s="234" t="s">
        <v>59</v>
      </c>
      <c r="B2" s="235"/>
      <c r="C2" s="235"/>
      <c r="D2" s="235"/>
      <c r="E2" s="235"/>
      <c r="F2" s="235"/>
      <c r="G2" s="236"/>
    </row>
    <row r="3" spans="1:22" ht="15.75" thickBot="1" x14ac:dyDescent="0.3">
      <c r="A3" s="237"/>
      <c r="B3" s="238"/>
      <c r="C3" s="238"/>
      <c r="D3" s="238"/>
      <c r="E3" s="238"/>
      <c r="F3" s="238"/>
      <c r="G3" s="239"/>
    </row>
    <row r="4" spans="1:22" x14ac:dyDescent="0.25">
      <c r="A4" s="68"/>
      <c r="B4" s="68"/>
      <c r="C4" s="68"/>
      <c r="D4" s="68"/>
      <c r="E4" s="68"/>
      <c r="F4" s="68"/>
      <c r="G4" s="68"/>
    </row>
    <row r="5" spans="1:22" ht="15.75" x14ac:dyDescent="0.25">
      <c r="A5" s="191" t="s">
        <v>162</v>
      </c>
      <c r="B5" s="68"/>
      <c r="C5" s="68"/>
      <c r="D5" s="68"/>
      <c r="E5" s="68"/>
      <c r="F5" s="68"/>
      <c r="G5" s="68"/>
    </row>
    <row r="6" spans="1:22" ht="30" x14ac:dyDescent="0.3">
      <c r="A6" s="230" t="s">
        <v>54</v>
      </c>
      <c r="B6" s="230"/>
      <c r="C6" s="65" t="s">
        <v>169</v>
      </c>
      <c r="D6" s="197" t="s">
        <v>170</v>
      </c>
      <c r="E6" s="195" t="s">
        <v>168</v>
      </c>
      <c r="F6" s="64" t="s">
        <v>53</v>
      </c>
      <c r="G6" s="65" t="s">
        <v>57</v>
      </c>
      <c r="J6" s="229" t="s">
        <v>155</v>
      </c>
      <c r="K6" s="229"/>
      <c r="L6" s="229"/>
      <c r="M6" s="229"/>
      <c r="N6" s="183">
        <v>6352</v>
      </c>
      <c r="O6" s="178">
        <v>0.44240000000000002</v>
      </c>
      <c r="Q6" s="199">
        <v>0.1</v>
      </c>
      <c r="S6" t="s">
        <v>13</v>
      </c>
      <c r="T6">
        <v>1.63</v>
      </c>
    </row>
    <row r="7" spans="1:22" ht="30" customHeight="1" x14ac:dyDescent="0.25">
      <c r="A7" s="228" t="s">
        <v>56</v>
      </c>
      <c r="B7" s="228"/>
      <c r="C7" s="63">
        <v>8881</v>
      </c>
      <c r="D7" s="195">
        <v>600</v>
      </c>
      <c r="E7" s="167">
        <v>0.67</v>
      </c>
      <c r="F7" s="63">
        <v>2070</v>
      </c>
      <c r="G7" s="67">
        <v>13.869</v>
      </c>
      <c r="J7" s="185">
        <f>6352-D7</f>
        <v>5752</v>
      </c>
      <c r="K7" s="185">
        <f>J7/4</f>
        <v>1438</v>
      </c>
      <c r="L7" s="186">
        <f>K7*0.67</f>
        <v>963.46</v>
      </c>
    </row>
    <row r="8" spans="1:22" x14ac:dyDescent="0.25">
      <c r="A8" s="48" t="s">
        <v>14</v>
      </c>
      <c r="B8" s="49" t="s">
        <v>10</v>
      </c>
      <c r="C8" s="48" t="s">
        <v>11</v>
      </c>
      <c r="D8" s="48" t="s">
        <v>1</v>
      </c>
      <c r="E8" s="48" t="s">
        <v>12</v>
      </c>
      <c r="F8" s="48" t="s">
        <v>1</v>
      </c>
      <c r="G8" s="50" t="s">
        <v>0</v>
      </c>
      <c r="H8" s="179" t="s">
        <v>150</v>
      </c>
      <c r="J8" s="75" t="s">
        <v>157</v>
      </c>
      <c r="K8" s="48" t="s">
        <v>156</v>
      </c>
      <c r="L8" s="184" t="s">
        <v>158</v>
      </c>
      <c r="M8" s="179" t="s">
        <v>110</v>
      </c>
      <c r="N8" s="75" t="s">
        <v>153</v>
      </c>
      <c r="O8" s="75" t="s">
        <v>159</v>
      </c>
    </row>
    <row r="9" spans="1:22" x14ac:dyDescent="0.25">
      <c r="A9" s="51" t="s">
        <v>2</v>
      </c>
      <c r="B9" s="52">
        <v>1430</v>
      </c>
      <c r="C9" s="57">
        <v>19385.550000000003</v>
      </c>
      <c r="D9" s="58">
        <f>B9+C9</f>
        <v>20815.550000000003</v>
      </c>
      <c r="E9" s="53">
        <f t="shared" ref="E9:E16" si="0">B9*$G$7</f>
        <v>19832.669999999998</v>
      </c>
      <c r="F9" s="53">
        <f>B9+E9</f>
        <v>21262.67</v>
      </c>
      <c r="G9" s="54">
        <f>F9-D9</f>
        <v>447.11999999999534</v>
      </c>
      <c r="H9" s="180">
        <f>G9/D9*100</f>
        <v>2.1480095409441273</v>
      </c>
      <c r="J9" s="75">
        <v>963.46</v>
      </c>
      <c r="K9" s="181">
        <f t="shared" ref="K9:K16" si="1">B9+(B9*J9/100)</f>
        <v>15207.478000000001</v>
      </c>
      <c r="L9" s="182">
        <f t="shared" ref="L9:L16" si="2">K9*$O$6</f>
        <v>6727.7882672000005</v>
      </c>
      <c r="M9" s="182">
        <f>K9+L9</f>
        <v>21935.266267200001</v>
      </c>
      <c r="N9" s="182">
        <f t="shared" ref="N9:N16" si="3">M9-F9</f>
        <v>672.59626720000233</v>
      </c>
      <c r="O9" s="182">
        <f t="shared" ref="O9:O16" si="4">N9/F9*100</f>
        <v>3.1632728495527722</v>
      </c>
      <c r="Q9" s="171">
        <f>K9*$Q$6</f>
        <v>1520.7478000000001</v>
      </c>
      <c r="R9" s="171">
        <f t="shared" ref="R9:S9" si="5">L9*$Q$6</f>
        <v>672.7788267200001</v>
      </c>
      <c r="S9" s="171">
        <f t="shared" si="5"/>
        <v>2193.52662672</v>
      </c>
      <c r="T9">
        <f>K9*T6</f>
        <v>24788.189139999999</v>
      </c>
      <c r="U9">
        <f>T9*O6</f>
        <v>10966.294875535999</v>
      </c>
      <c r="V9">
        <f>T9+U9</f>
        <v>35754.484015536</v>
      </c>
    </row>
    <row r="10" spans="1:22" x14ac:dyDescent="0.25">
      <c r="A10" s="51" t="s">
        <v>3</v>
      </c>
      <c r="B10" s="52">
        <v>2010</v>
      </c>
      <c r="C10" s="57">
        <v>25943.310000000005</v>
      </c>
      <c r="D10" s="58">
        <f t="shared" ref="D10:D16" si="6">B10+C10</f>
        <v>27953.310000000005</v>
      </c>
      <c r="E10" s="53">
        <f t="shared" si="0"/>
        <v>27876.69</v>
      </c>
      <c r="F10" s="53">
        <f t="shared" ref="F10:F16" si="7">B10+E10</f>
        <v>29886.69</v>
      </c>
      <c r="G10" s="54">
        <f t="shared" ref="G10:G16" si="8">F10-D10</f>
        <v>1933.3799999999937</v>
      </c>
      <c r="H10" s="180">
        <f t="shared" ref="H10:H16" si="9">G10/D10*100</f>
        <v>6.9164617714324113</v>
      </c>
      <c r="J10" s="75">
        <v>963.46</v>
      </c>
      <c r="K10" s="181">
        <f t="shared" si="1"/>
        <v>21375.546000000002</v>
      </c>
      <c r="L10" s="182">
        <f t="shared" si="2"/>
        <v>9456.5415504000011</v>
      </c>
      <c r="M10" s="182">
        <f t="shared" ref="M10:M16" si="10">K10+L10</f>
        <v>30832.087550400003</v>
      </c>
      <c r="N10" s="182">
        <f t="shared" si="3"/>
        <v>945.39755040000455</v>
      </c>
      <c r="O10" s="182">
        <f t="shared" si="4"/>
        <v>3.1632728495527762</v>
      </c>
      <c r="Q10" s="171">
        <f>K10*$Q$6</f>
        <v>2137.5546000000004</v>
      </c>
      <c r="R10" s="171">
        <f t="shared" ref="R10" si="11">L10*$Q$6</f>
        <v>945.65415504000021</v>
      </c>
      <c r="S10" s="171">
        <f t="shared" ref="S10" si="12">M10*$Q$6</f>
        <v>3083.2087550400006</v>
      </c>
      <c r="T10">
        <f>K10*T7</f>
        <v>0</v>
      </c>
      <c r="U10">
        <f>T10*O7</f>
        <v>0</v>
      </c>
      <c r="V10">
        <f>T10+U10</f>
        <v>0</v>
      </c>
    </row>
    <row r="11" spans="1:22" x14ac:dyDescent="0.25">
      <c r="A11" s="51" t="s">
        <v>4</v>
      </c>
      <c r="B11" s="52">
        <v>2195</v>
      </c>
      <c r="C11" s="57">
        <v>26991.765000000003</v>
      </c>
      <c r="D11" s="58">
        <f t="shared" si="6"/>
        <v>29186.765000000003</v>
      </c>
      <c r="E11" s="53">
        <f t="shared" si="0"/>
        <v>30442.454999999998</v>
      </c>
      <c r="F11" s="53">
        <f t="shared" si="7"/>
        <v>32637.454999999998</v>
      </c>
      <c r="G11" s="54">
        <f t="shared" si="8"/>
        <v>3450.6899999999951</v>
      </c>
      <c r="H11" s="180">
        <f t="shared" si="9"/>
        <v>11.822790227008696</v>
      </c>
      <c r="J11" s="75">
        <v>963.46</v>
      </c>
      <c r="K11" s="181">
        <f t="shared" si="1"/>
        <v>23342.947</v>
      </c>
      <c r="L11" s="182">
        <f t="shared" si="2"/>
        <v>10326.9197528</v>
      </c>
      <c r="M11" s="182">
        <f t="shared" si="10"/>
        <v>33669.866752800001</v>
      </c>
      <c r="N11" s="182">
        <f t="shared" si="3"/>
        <v>1032.4117528000024</v>
      </c>
      <c r="O11" s="182">
        <f t="shared" si="4"/>
        <v>3.1632728495527687</v>
      </c>
    </row>
    <row r="12" spans="1:22" x14ac:dyDescent="0.25">
      <c r="A12" s="51" t="s">
        <v>5</v>
      </c>
      <c r="B12" s="52">
        <v>2455</v>
      </c>
      <c r="C12" s="57">
        <v>27906.705000000002</v>
      </c>
      <c r="D12" s="58">
        <f t="shared" si="6"/>
        <v>30361.705000000002</v>
      </c>
      <c r="E12" s="53">
        <f t="shared" si="0"/>
        <v>34048.394999999997</v>
      </c>
      <c r="F12" s="53">
        <f t="shared" si="7"/>
        <v>36503.394999999997</v>
      </c>
      <c r="G12" s="54">
        <f t="shared" si="8"/>
        <v>6141.6899999999951</v>
      </c>
      <c r="H12" s="180">
        <f t="shared" si="9"/>
        <v>20.228409438797968</v>
      </c>
      <c r="J12" s="75">
        <v>963.46</v>
      </c>
      <c r="K12" s="181">
        <f t="shared" si="1"/>
        <v>26107.943000000003</v>
      </c>
      <c r="L12" s="182">
        <f t="shared" si="2"/>
        <v>11550.153983200002</v>
      </c>
      <c r="M12" s="182">
        <f t="shared" si="10"/>
        <v>37658.096983200005</v>
      </c>
      <c r="N12" s="182">
        <f t="shared" si="3"/>
        <v>1154.7019832000078</v>
      </c>
      <c r="O12" s="182">
        <f t="shared" si="4"/>
        <v>3.1632728495527824</v>
      </c>
    </row>
    <row r="13" spans="1:22" x14ac:dyDescent="0.25">
      <c r="A13" s="51" t="s">
        <v>6</v>
      </c>
      <c r="B13" s="52">
        <v>2675</v>
      </c>
      <c r="C13" s="57">
        <v>28680.885000000002</v>
      </c>
      <c r="D13" s="58">
        <f t="shared" si="6"/>
        <v>31355.885000000002</v>
      </c>
      <c r="E13" s="53">
        <f t="shared" si="0"/>
        <v>37099.574999999997</v>
      </c>
      <c r="F13" s="53">
        <f t="shared" si="7"/>
        <v>39774.574999999997</v>
      </c>
      <c r="G13" s="54">
        <f t="shared" si="8"/>
        <v>8418.6899999999951</v>
      </c>
      <c r="H13" s="180">
        <f t="shared" si="9"/>
        <v>26.848835553517286</v>
      </c>
      <c r="J13" s="75">
        <v>963.46</v>
      </c>
      <c r="K13" s="181">
        <f t="shared" si="1"/>
        <v>28447.555</v>
      </c>
      <c r="L13" s="182">
        <f t="shared" si="2"/>
        <v>12585.198332</v>
      </c>
      <c r="M13" s="182">
        <f t="shared" si="10"/>
        <v>41032.753332</v>
      </c>
      <c r="N13" s="182">
        <f t="shared" si="3"/>
        <v>1258.1783320000031</v>
      </c>
      <c r="O13" s="182">
        <f t="shared" si="4"/>
        <v>3.1632728495527687</v>
      </c>
    </row>
    <row r="14" spans="1:22" x14ac:dyDescent="0.25">
      <c r="A14" s="51" t="s">
        <v>7</v>
      </c>
      <c r="B14" s="52">
        <v>2975</v>
      </c>
      <c r="C14" s="57">
        <v>29736.585000000003</v>
      </c>
      <c r="D14" s="58">
        <f t="shared" si="6"/>
        <v>32711.585000000003</v>
      </c>
      <c r="E14" s="53">
        <f t="shared" si="0"/>
        <v>41260.275000000001</v>
      </c>
      <c r="F14" s="53">
        <f t="shared" si="7"/>
        <v>44235.275000000001</v>
      </c>
      <c r="G14" s="54">
        <f t="shared" si="8"/>
        <v>11523.689999999999</v>
      </c>
      <c r="H14" s="180">
        <f t="shared" si="9"/>
        <v>35.228161521369259</v>
      </c>
      <c r="J14" s="75">
        <v>963.46</v>
      </c>
      <c r="K14" s="181">
        <f t="shared" si="1"/>
        <v>31637.935000000001</v>
      </c>
      <c r="L14" s="182">
        <f t="shared" si="2"/>
        <v>13996.622444000001</v>
      </c>
      <c r="M14" s="182">
        <f t="shared" si="10"/>
        <v>45634.557444000005</v>
      </c>
      <c r="N14" s="182">
        <f t="shared" si="3"/>
        <v>1399.282444000004</v>
      </c>
      <c r="O14" s="182">
        <f t="shared" si="4"/>
        <v>3.16327284955277</v>
      </c>
    </row>
    <row r="15" spans="1:22" x14ac:dyDescent="0.25">
      <c r="A15" s="51" t="s">
        <v>8</v>
      </c>
      <c r="B15" s="52">
        <v>3275</v>
      </c>
      <c r="C15" s="57">
        <v>30792.285000000003</v>
      </c>
      <c r="D15" s="58">
        <f t="shared" si="6"/>
        <v>34067.285000000003</v>
      </c>
      <c r="E15" s="53">
        <f t="shared" si="0"/>
        <v>45420.974999999999</v>
      </c>
      <c r="F15" s="53">
        <f t="shared" si="7"/>
        <v>48695.974999999999</v>
      </c>
      <c r="G15" s="54">
        <f t="shared" si="8"/>
        <v>14628.689999999995</v>
      </c>
      <c r="H15" s="180">
        <f t="shared" si="9"/>
        <v>42.940580677327219</v>
      </c>
      <c r="J15" s="75">
        <v>963.46</v>
      </c>
      <c r="K15" s="181">
        <f t="shared" si="1"/>
        <v>34828.315000000002</v>
      </c>
      <c r="L15" s="182">
        <f t="shared" si="2"/>
        <v>15408.046556000001</v>
      </c>
      <c r="M15" s="182">
        <f t="shared" si="10"/>
        <v>50236.361556000003</v>
      </c>
      <c r="N15" s="182">
        <f t="shared" si="3"/>
        <v>1540.3865560000049</v>
      </c>
      <c r="O15" s="182">
        <f t="shared" si="4"/>
        <v>3.1632728495527709</v>
      </c>
    </row>
    <row r="16" spans="1:22" x14ac:dyDescent="0.25">
      <c r="A16" s="51" t="s">
        <v>9</v>
      </c>
      <c r="B16" s="52">
        <v>3500</v>
      </c>
      <c r="C16" s="57">
        <v>31584.06</v>
      </c>
      <c r="D16" s="58">
        <f t="shared" si="6"/>
        <v>35084.06</v>
      </c>
      <c r="E16" s="53">
        <f t="shared" si="0"/>
        <v>48541.5</v>
      </c>
      <c r="F16" s="53">
        <f t="shared" si="7"/>
        <v>52041.5</v>
      </c>
      <c r="G16" s="54">
        <f t="shared" si="8"/>
        <v>16957.440000000002</v>
      </c>
      <c r="H16" s="180">
        <f t="shared" si="9"/>
        <v>48.333744726237512</v>
      </c>
      <c r="J16" s="75">
        <v>963.46</v>
      </c>
      <c r="K16" s="181">
        <f t="shared" si="1"/>
        <v>37221.1</v>
      </c>
      <c r="L16" s="182">
        <f t="shared" si="2"/>
        <v>16466.61464</v>
      </c>
      <c r="M16" s="182">
        <f t="shared" si="10"/>
        <v>53687.714639999998</v>
      </c>
      <c r="N16" s="182">
        <f t="shared" si="3"/>
        <v>1646.2146399999983</v>
      </c>
      <c r="O16" s="182">
        <f t="shared" si="4"/>
        <v>3.1632728495527576</v>
      </c>
    </row>
    <row r="17" spans="1:15" x14ac:dyDescent="0.25">
      <c r="A17" s="51"/>
      <c r="B17" s="52"/>
      <c r="C17" s="57"/>
      <c r="D17" s="58"/>
      <c r="E17" s="53"/>
      <c r="F17" s="53"/>
      <c r="G17" s="54"/>
      <c r="H17" s="192"/>
      <c r="J17" s="123"/>
      <c r="K17" s="193"/>
      <c r="L17" s="194"/>
      <c r="M17" s="194"/>
      <c r="N17" s="194"/>
      <c r="O17" s="194"/>
    </row>
    <row r="18" spans="1:15" ht="15.75" x14ac:dyDescent="0.25">
      <c r="A18" s="191" t="s">
        <v>163</v>
      </c>
      <c r="B18" s="52"/>
      <c r="C18" s="57"/>
      <c r="D18" s="58"/>
      <c r="E18" s="53"/>
      <c r="F18" s="53"/>
      <c r="G18" s="54"/>
      <c r="H18" s="192"/>
      <c r="J18" s="123"/>
      <c r="K18" s="193"/>
      <c r="L18" s="194"/>
      <c r="M18" s="194"/>
      <c r="N18" s="194"/>
      <c r="O18" s="194"/>
    </row>
    <row r="19" spans="1:15" ht="30" x14ac:dyDescent="0.25">
      <c r="A19" s="230" t="s">
        <v>54</v>
      </c>
      <c r="B19" s="230"/>
      <c r="C19" s="65" t="s">
        <v>169</v>
      </c>
      <c r="D19" s="197" t="s">
        <v>170</v>
      </c>
      <c r="E19" s="195" t="s">
        <v>168</v>
      </c>
      <c r="F19" s="63" t="s">
        <v>53</v>
      </c>
      <c r="G19" s="65" t="s">
        <v>57</v>
      </c>
    </row>
    <row r="20" spans="1:15" ht="26.25" customHeight="1" x14ac:dyDescent="0.25">
      <c r="A20" s="228" t="s">
        <v>55</v>
      </c>
      <c r="B20" s="228"/>
      <c r="C20" s="63">
        <v>8881</v>
      </c>
      <c r="D20" s="195">
        <v>1148</v>
      </c>
      <c r="E20" s="167">
        <v>0.35</v>
      </c>
      <c r="F20" s="63">
        <v>1933</v>
      </c>
      <c r="G20" s="67">
        <v>6.7655000000000003</v>
      </c>
      <c r="J20" s="185">
        <f>6352-D20</f>
        <v>5204</v>
      </c>
      <c r="K20" s="187">
        <f>J20/4</f>
        <v>1301</v>
      </c>
      <c r="L20" s="186">
        <f>K20*0.35</f>
        <v>455.34999999999997</v>
      </c>
    </row>
    <row r="21" spans="1:15" x14ac:dyDescent="0.25">
      <c r="A21" s="48" t="s">
        <v>14</v>
      </c>
      <c r="B21" s="49" t="s">
        <v>10</v>
      </c>
      <c r="C21" s="48" t="s">
        <v>11</v>
      </c>
      <c r="D21" s="48" t="s">
        <v>1</v>
      </c>
      <c r="E21" s="48" t="s">
        <v>12</v>
      </c>
      <c r="F21" s="48" t="s">
        <v>1</v>
      </c>
      <c r="G21" s="50" t="s">
        <v>0</v>
      </c>
      <c r="H21" s="179" t="s">
        <v>150</v>
      </c>
      <c r="J21" s="75" t="s">
        <v>157</v>
      </c>
      <c r="K21" s="48" t="s">
        <v>156</v>
      </c>
      <c r="L21" s="184" t="s">
        <v>158</v>
      </c>
      <c r="M21" s="179" t="s">
        <v>110</v>
      </c>
      <c r="N21" s="75" t="s">
        <v>153</v>
      </c>
      <c r="O21" s="75" t="s">
        <v>159</v>
      </c>
    </row>
    <row r="22" spans="1:15" x14ac:dyDescent="0.25">
      <c r="A22" s="55" t="s">
        <v>2</v>
      </c>
      <c r="B22" s="52">
        <v>2820</v>
      </c>
      <c r="C22" s="53">
        <v>18591.593999999997</v>
      </c>
      <c r="D22" s="53">
        <f>B22+C22</f>
        <v>21411.593999999997</v>
      </c>
      <c r="E22" s="53">
        <f t="shared" ref="E22:E29" si="13">B22*$G$20</f>
        <v>19078.71</v>
      </c>
      <c r="F22" s="53">
        <f>B22+E22</f>
        <v>21898.71</v>
      </c>
      <c r="G22" s="54">
        <f>F22-D22</f>
        <v>487.1160000000018</v>
      </c>
      <c r="H22" s="180">
        <f t="shared" ref="H22:H29" si="14">G22/D22*100</f>
        <v>2.2750104452755915</v>
      </c>
      <c r="J22" s="75">
        <v>455.35</v>
      </c>
      <c r="K22" s="181">
        <f t="shared" ref="K22:K29" si="15">B22+(B22*J22/100)</f>
        <v>15660.87</v>
      </c>
      <c r="L22" s="182">
        <f t="shared" ref="L22:L29" si="16">K22*$O$6</f>
        <v>6928.3688880000009</v>
      </c>
      <c r="M22" s="182">
        <f>K22+L22</f>
        <v>22589.238888</v>
      </c>
      <c r="N22" s="182">
        <f t="shared" ref="N22:N29" si="17">M22-F22</f>
        <v>690.52888800000073</v>
      </c>
      <c r="O22" s="182">
        <f t="shared" ref="O22:O29" si="18">N22/F22*100</f>
        <v>3.1532856866911372</v>
      </c>
    </row>
    <row r="23" spans="1:15" x14ac:dyDescent="0.25">
      <c r="A23" s="55" t="s">
        <v>3</v>
      </c>
      <c r="B23" s="52">
        <v>4025</v>
      </c>
      <c r="C23" s="53">
        <v>24940.532499999998</v>
      </c>
      <c r="D23" s="53">
        <f>B23+C23</f>
        <v>28965.532499999998</v>
      </c>
      <c r="E23" s="53">
        <f t="shared" si="13"/>
        <v>27231.137500000001</v>
      </c>
      <c r="F23" s="53">
        <f>B23+E23</f>
        <v>31256.137500000001</v>
      </c>
      <c r="G23" s="54">
        <f>F23-D23</f>
        <v>2290.6050000000032</v>
      </c>
      <c r="H23" s="180">
        <f t="shared" si="14"/>
        <v>7.9080369055877133</v>
      </c>
      <c r="J23" s="75">
        <v>455.35</v>
      </c>
      <c r="K23" s="181">
        <f t="shared" si="15"/>
        <v>22352.837500000001</v>
      </c>
      <c r="L23" s="182">
        <f t="shared" si="16"/>
        <v>9888.8953100000017</v>
      </c>
      <c r="M23" s="182">
        <f t="shared" ref="M23:M29" si="19">K23+L23</f>
        <v>32241.732810000001</v>
      </c>
      <c r="N23" s="182">
        <f t="shared" si="17"/>
        <v>985.59531000000061</v>
      </c>
      <c r="O23" s="182">
        <f t="shared" si="18"/>
        <v>3.1532856866911358</v>
      </c>
    </row>
    <row r="24" spans="1:15" x14ac:dyDescent="0.25">
      <c r="A24" s="55" t="s">
        <v>4</v>
      </c>
      <c r="B24" s="52">
        <v>4370</v>
      </c>
      <c r="C24" s="53">
        <v>25656.708999999999</v>
      </c>
      <c r="D24" s="53">
        <f t="shared" ref="D24:D29" si="20">B24+C24</f>
        <v>30026.708999999999</v>
      </c>
      <c r="E24" s="53">
        <f t="shared" si="13"/>
        <v>29565.235000000001</v>
      </c>
      <c r="F24" s="53">
        <f t="shared" ref="F24:F29" si="21">B24+E24</f>
        <v>33935.235000000001</v>
      </c>
      <c r="G24" s="54">
        <f t="shared" ref="G24:G29" si="22">F24-D24</f>
        <v>3908.5260000000017</v>
      </c>
      <c r="H24" s="180">
        <f t="shared" si="14"/>
        <v>13.016831115258093</v>
      </c>
      <c r="J24" s="75">
        <v>455.35</v>
      </c>
      <c r="K24" s="181">
        <f t="shared" si="15"/>
        <v>24268.794999999998</v>
      </c>
      <c r="L24" s="182">
        <f t="shared" si="16"/>
        <v>10736.514907999999</v>
      </c>
      <c r="M24" s="182">
        <f t="shared" si="19"/>
        <v>35005.309907999996</v>
      </c>
      <c r="N24" s="182">
        <f t="shared" si="17"/>
        <v>1070.074907999995</v>
      </c>
      <c r="O24" s="182">
        <f t="shared" si="18"/>
        <v>3.1532856866911194</v>
      </c>
    </row>
    <row r="25" spans="1:15" x14ac:dyDescent="0.25">
      <c r="A25" s="55" t="s">
        <v>5</v>
      </c>
      <c r="B25" s="52">
        <v>4850</v>
      </c>
      <c r="C25" s="53">
        <v>26491.764999999999</v>
      </c>
      <c r="D25" s="53">
        <f t="shared" si="20"/>
        <v>31341.764999999999</v>
      </c>
      <c r="E25" s="53">
        <f t="shared" si="13"/>
        <v>32812.675000000003</v>
      </c>
      <c r="F25" s="53">
        <f t="shared" si="21"/>
        <v>37662.675000000003</v>
      </c>
      <c r="G25" s="54">
        <f t="shared" si="22"/>
        <v>6320.9100000000035</v>
      </c>
      <c r="H25" s="180">
        <f t="shared" si="14"/>
        <v>20.167689981722482</v>
      </c>
      <c r="J25" s="75">
        <v>455.35</v>
      </c>
      <c r="K25" s="181">
        <f t="shared" si="15"/>
        <v>26934.474999999999</v>
      </c>
      <c r="L25" s="182">
        <f t="shared" si="16"/>
        <v>11915.811739999999</v>
      </c>
      <c r="M25" s="182">
        <f t="shared" si="19"/>
        <v>38850.286739999996</v>
      </c>
      <c r="N25" s="182">
        <f t="shared" si="17"/>
        <v>1187.611739999993</v>
      </c>
      <c r="O25" s="182">
        <f t="shared" si="18"/>
        <v>3.153285686691115</v>
      </c>
    </row>
    <row r="26" spans="1:15" x14ac:dyDescent="0.25">
      <c r="A26" s="55" t="s">
        <v>6</v>
      </c>
      <c r="B26" s="52">
        <v>5225</v>
      </c>
      <c r="C26" s="53">
        <v>27144.152499999997</v>
      </c>
      <c r="D26" s="53">
        <f t="shared" si="20"/>
        <v>32369.152499999997</v>
      </c>
      <c r="E26" s="53">
        <f t="shared" si="13"/>
        <v>35349.737500000003</v>
      </c>
      <c r="F26" s="53">
        <f t="shared" si="21"/>
        <v>40574.737500000003</v>
      </c>
      <c r="G26" s="54">
        <f t="shared" si="22"/>
        <v>8205.5850000000064</v>
      </c>
      <c r="H26" s="180">
        <f t="shared" si="14"/>
        <v>25.35001495636936</v>
      </c>
      <c r="J26" s="75">
        <v>455.35</v>
      </c>
      <c r="K26" s="181">
        <f t="shared" si="15"/>
        <v>29017.037499999999</v>
      </c>
      <c r="L26" s="182">
        <f t="shared" si="16"/>
        <v>12837.13739</v>
      </c>
      <c r="M26" s="182">
        <f t="shared" si="19"/>
        <v>41854.174889999995</v>
      </c>
      <c r="N26" s="182">
        <f t="shared" si="17"/>
        <v>1279.4373899999919</v>
      </c>
      <c r="O26" s="182">
        <f t="shared" si="18"/>
        <v>3.1532856866911136</v>
      </c>
    </row>
    <row r="27" spans="1:15" x14ac:dyDescent="0.25">
      <c r="A27" s="55" t="s">
        <v>7</v>
      </c>
      <c r="B27" s="52">
        <v>5725</v>
      </c>
      <c r="C27" s="53">
        <v>28014.002499999999</v>
      </c>
      <c r="D27" s="53">
        <f t="shared" si="20"/>
        <v>33739.002500000002</v>
      </c>
      <c r="E27" s="53">
        <f t="shared" si="13"/>
        <v>38732.487500000003</v>
      </c>
      <c r="F27" s="53">
        <f t="shared" si="21"/>
        <v>44457.487500000003</v>
      </c>
      <c r="G27" s="54">
        <f t="shared" si="22"/>
        <v>10718.485000000001</v>
      </c>
      <c r="H27" s="180">
        <f t="shared" si="14"/>
        <v>31.768826004858919</v>
      </c>
      <c r="J27" s="75">
        <v>455.35</v>
      </c>
      <c r="K27" s="181">
        <f t="shared" si="15"/>
        <v>31793.787499999999</v>
      </c>
      <c r="L27" s="182">
        <f t="shared" si="16"/>
        <v>14065.57159</v>
      </c>
      <c r="M27" s="182">
        <f t="shared" si="19"/>
        <v>45859.359089999998</v>
      </c>
      <c r="N27" s="182">
        <f t="shared" si="17"/>
        <v>1401.8715899999952</v>
      </c>
      <c r="O27" s="182">
        <f t="shared" si="18"/>
        <v>3.153285686691123</v>
      </c>
    </row>
    <row r="28" spans="1:15" x14ac:dyDescent="0.25">
      <c r="A28" s="55" t="s">
        <v>8</v>
      </c>
      <c r="B28" s="52">
        <v>6325</v>
      </c>
      <c r="C28" s="53">
        <v>29057.822499999998</v>
      </c>
      <c r="D28" s="53">
        <f t="shared" si="20"/>
        <v>35382.822499999995</v>
      </c>
      <c r="E28" s="53">
        <f t="shared" si="13"/>
        <v>42791.787499999999</v>
      </c>
      <c r="F28" s="53">
        <f t="shared" si="21"/>
        <v>49116.787499999999</v>
      </c>
      <c r="G28" s="54">
        <f t="shared" si="22"/>
        <v>13733.965000000004</v>
      </c>
      <c r="H28" s="180">
        <f t="shared" si="14"/>
        <v>38.815346062344254</v>
      </c>
      <c r="J28" s="75">
        <v>455.35</v>
      </c>
      <c r="K28" s="181">
        <f t="shared" si="15"/>
        <v>35125.887499999997</v>
      </c>
      <c r="L28" s="182">
        <f t="shared" si="16"/>
        <v>15539.69263</v>
      </c>
      <c r="M28" s="182">
        <f t="shared" si="19"/>
        <v>50665.580129999995</v>
      </c>
      <c r="N28" s="182">
        <f t="shared" si="17"/>
        <v>1548.7926299999963</v>
      </c>
      <c r="O28" s="182">
        <f t="shared" si="18"/>
        <v>3.1532856866911265</v>
      </c>
    </row>
    <row r="29" spans="1:15" x14ac:dyDescent="0.25">
      <c r="A29" s="55" t="s">
        <v>9</v>
      </c>
      <c r="B29" s="52">
        <v>7000</v>
      </c>
      <c r="C29" s="53">
        <v>30232.12</v>
      </c>
      <c r="D29" s="53">
        <f t="shared" si="20"/>
        <v>37232.119999999995</v>
      </c>
      <c r="E29" s="53">
        <f t="shared" si="13"/>
        <v>47358.5</v>
      </c>
      <c r="F29" s="53">
        <f t="shared" si="21"/>
        <v>54358.5</v>
      </c>
      <c r="G29" s="54">
        <f t="shared" si="22"/>
        <v>17126.380000000005</v>
      </c>
      <c r="H29" s="180">
        <f t="shared" si="14"/>
        <v>45.998938550907134</v>
      </c>
      <c r="J29" s="75">
        <v>455.35</v>
      </c>
      <c r="K29" s="181">
        <f t="shared" si="15"/>
        <v>38874.5</v>
      </c>
      <c r="L29" s="182">
        <f t="shared" si="16"/>
        <v>17198.078799999999</v>
      </c>
      <c r="M29" s="182">
        <f t="shared" si="19"/>
        <v>56072.578800000003</v>
      </c>
      <c r="N29" s="182">
        <f t="shared" si="17"/>
        <v>1714.078800000003</v>
      </c>
      <c r="O29" s="182">
        <f t="shared" si="18"/>
        <v>3.1532856866911394</v>
      </c>
    </row>
    <row r="30" spans="1:15" x14ac:dyDescent="0.25">
      <c r="A30" s="55"/>
      <c r="B30" s="52"/>
      <c r="C30" s="53"/>
      <c r="D30" s="53"/>
      <c r="E30" s="53"/>
      <c r="F30" s="53"/>
      <c r="G30" s="54"/>
      <c r="H30" s="192"/>
      <c r="J30" s="123"/>
      <c r="K30" s="193"/>
      <c r="L30" s="194"/>
      <c r="M30" s="194"/>
      <c r="N30" s="194"/>
      <c r="O30" s="194"/>
    </row>
    <row r="31" spans="1:15" ht="15.75" x14ac:dyDescent="0.25">
      <c r="A31" s="191" t="s">
        <v>164</v>
      </c>
      <c r="B31" s="52"/>
      <c r="C31" s="53"/>
      <c r="D31" s="53"/>
      <c r="E31" s="53"/>
      <c r="F31" s="53"/>
      <c r="G31" s="54"/>
      <c r="H31" s="192"/>
      <c r="J31" s="123"/>
      <c r="K31" s="193"/>
      <c r="L31" s="194"/>
      <c r="M31" s="194"/>
      <c r="N31" s="194"/>
      <c r="O31" s="194"/>
    </row>
    <row r="32" spans="1:15" ht="30" x14ac:dyDescent="0.25">
      <c r="A32" s="230" t="s">
        <v>54</v>
      </c>
      <c r="B32" s="230"/>
      <c r="C32" s="65" t="s">
        <v>169</v>
      </c>
      <c r="D32" s="197" t="s">
        <v>170</v>
      </c>
      <c r="E32" s="195" t="s">
        <v>168</v>
      </c>
      <c r="F32" s="63" t="s">
        <v>53</v>
      </c>
      <c r="G32" s="65" t="s">
        <v>57</v>
      </c>
    </row>
    <row r="33" spans="1:15" ht="41.25" customHeight="1" x14ac:dyDescent="0.25">
      <c r="A33" s="228" t="s">
        <v>60</v>
      </c>
      <c r="B33" s="228"/>
      <c r="C33" s="63">
        <v>8881</v>
      </c>
      <c r="D33" s="195">
        <v>1684</v>
      </c>
      <c r="E33" s="167">
        <v>0.24</v>
      </c>
      <c r="F33" s="63">
        <v>1799</v>
      </c>
      <c r="G33" s="67">
        <v>4.3175999999999997</v>
      </c>
      <c r="J33" s="188">
        <f>6352-D33</f>
        <v>4668</v>
      </c>
      <c r="K33" s="189">
        <f>J33/4</f>
        <v>1167</v>
      </c>
      <c r="L33" s="190">
        <f>K33*0.24</f>
        <v>280.08</v>
      </c>
    </row>
    <row r="34" spans="1:15" x14ac:dyDescent="0.25">
      <c r="A34" s="60" t="s">
        <v>14</v>
      </c>
      <c r="B34" s="59" t="s">
        <v>10</v>
      </c>
      <c r="C34" s="60" t="s">
        <v>11</v>
      </c>
      <c r="D34" s="60" t="s">
        <v>1</v>
      </c>
      <c r="E34" s="60" t="s">
        <v>12</v>
      </c>
      <c r="F34" s="60" t="s">
        <v>1</v>
      </c>
      <c r="G34" s="60" t="s">
        <v>0</v>
      </c>
      <c r="H34" s="179" t="s">
        <v>150</v>
      </c>
      <c r="J34" s="75" t="s">
        <v>157</v>
      </c>
      <c r="K34" s="48" t="s">
        <v>156</v>
      </c>
      <c r="L34" s="184" t="s">
        <v>158</v>
      </c>
      <c r="M34" s="179" t="s">
        <v>110</v>
      </c>
      <c r="N34" s="75" t="s">
        <v>153</v>
      </c>
      <c r="O34" s="75" t="s">
        <v>159</v>
      </c>
    </row>
    <row r="35" spans="1:15" x14ac:dyDescent="0.25">
      <c r="A35" s="55" t="s">
        <v>2</v>
      </c>
      <c r="B35" s="56">
        <v>4490</v>
      </c>
      <c r="C35" s="53">
        <v>18709.599999999999</v>
      </c>
      <c r="D35" s="53">
        <f>B35+C35</f>
        <v>23199.599999999999</v>
      </c>
      <c r="E35" s="53">
        <f t="shared" ref="E35:E42" si="23">B35*$G$33</f>
        <v>19386.023999999998</v>
      </c>
      <c r="F35" s="53">
        <f>E35+B35</f>
        <v>23876.023999999998</v>
      </c>
      <c r="G35" s="54">
        <f>F35-D35</f>
        <v>676.42399999999907</v>
      </c>
      <c r="H35" s="180">
        <f t="shared" ref="H35:H42" si="24">G35/D35*100</f>
        <v>2.9156709598441313</v>
      </c>
      <c r="J35" s="75">
        <v>280.08</v>
      </c>
      <c r="K35" s="181">
        <f t="shared" ref="K35:K42" si="25">B35+(B35*J35/100)</f>
        <v>17065.591999999997</v>
      </c>
      <c r="L35" s="182">
        <f t="shared" ref="L35:L42" si="26">K35*$O$6</f>
        <v>7549.8179007999988</v>
      </c>
      <c r="M35" s="182">
        <f>K35+L35</f>
        <v>24615.409900799998</v>
      </c>
      <c r="N35" s="182">
        <f t="shared" ref="N35:N42" si="27">M35-F35</f>
        <v>739.38590079999994</v>
      </c>
      <c r="O35" s="182">
        <f t="shared" ref="O35:O42" si="28">N35/F35*100</f>
        <v>3.0967714758537688</v>
      </c>
    </row>
    <row r="36" spans="1:15" x14ac:dyDescent="0.25">
      <c r="A36" s="55" t="s">
        <v>3</v>
      </c>
      <c r="B36" s="56">
        <v>6270</v>
      </c>
      <c r="C36" s="53">
        <v>23941.092000000001</v>
      </c>
      <c r="D36" s="53">
        <f>B36+C36</f>
        <v>30211.092000000001</v>
      </c>
      <c r="E36" s="53">
        <f t="shared" si="23"/>
        <v>27071.351999999999</v>
      </c>
      <c r="F36" s="53">
        <f>E36+B36</f>
        <v>33341.351999999999</v>
      </c>
      <c r="G36" s="54">
        <f>F36-D36</f>
        <v>3130.2599999999984</v>
      </c>
      <c r="H36" s="180">
        <f t="shared" si="24"/>
        <v>10.361293792359437</v>
      </c>
      <c r="J36" s="75">
        <v>280.08</v>
      </c>
      <c r="K36" s="181">
        <f t="shared" si="25"/>
        <v>23831.016</v>
      </c>
      <c r="L36" s="182">
        <f t="shared" si="26"/>
        <v>10542.8414784</v>
      </c>
      <c r="M36" s="182">
        <f t="shared" ref="M36:M42" si="29">K36+L36</f>
        <v>34373.857478400001</v>
      </c>
      <c r="N36" s="182">
        <f t="shared" si="27"/>
        <v>1032.5054784000022</v>
      </c>
      <c r="O36" s="182">
        <f t="shared" si="28"/>
        <v>3.0967714758537754</v>
      </c>
    </row>
    <row r="37" spans="1:15" x14ac:dyDescent="0.25">
      <c r="A37" s="55" t="s">
        <v>4</v>
      </c>
      <c r="B37" s="56">
        <v>6780</v>
      </c>
      <c r="C37" s="53">
        <v>24491.59</v>
      </c>
      <c r="D37" s="53">
        <f>B37+C37</f>
        <v>31271.59</v>
      </c>
      <c r="E37" s="53">
        <f t="shared" si="23"/>
        <v>29273.327999999998</v>
      </c>
      <c r="F37" s="53">
        <f>E37+B37</f>
        <v>36053.327999999994</v>
      </c>
      <c r="G37" s="54">
        <f>F37-D37</f>
        <v>4781.7379999999939</v>
      </c>
      <c r="H37" s="180">
        <f t="shared" si="24"/>
        <v>15.290997355746841</v>
      </c>
      <c r="J37" s="75">
        <v>280.08</v>
      </c>
      <c r="K37" s="181">
        <f t="shared" si="25"/>
        <v>25769.423999999999</v>
      </c>
      <c r="L37" s="182">
        <f t="shared" si="26"/>
        <v>11400.393177600001</v>
      </c>
      <c r="M37" s="182">
        <f t="shared" si="29"/>
        <v>37169.817177600002</v>
      </c>
      <c r="N37" s="182">
        <f t="shared" si="27"/>
        <v>1116.4891776000077</v>
      </c>
      <c r="O37" s="182">
        <f t="shared" si="28"/>
        <v>3.0967714758537901</v>
      </c>
    </row>
    <row r="38" spans="1:15" x14ac:dyDescent="0.25">
      <c r="A38" s="55" t="s">
        <v>5</v>
      </c>
      <c r="B38" s="56">
        <v>7500</v>
      </c>
      <c r="C38" s="53">
        <v>25268.754000000001</v>
      </c>
      <c r="D38" s="53">
        <f t="shared" ref="D38:D42" si="30">B38+C38</f>
        <v>32768.754000000001</v>
      </c>
      <c r="E38" s="53">
        <f t="shared" si="23"/>
        <v>32381.999999999996</v>
      </c>
      <c r="F38" s="53">
        <f t="shared" ref="F38:F42" si="31">E38+B38</f>
        <v>39882</v>
      </c>
      <c r="G38" s="54">
        <f t="shared" ref="G38:G42" si="32">F38-D38</f>
        <v>7113.2459999999992</v>
      </c>
      <c r="H38" s="180">
        <f t="shared" si="24"/>
        <v>21.707404559843805</v>
      </c>
      <c r="J38" s="75">
        <v>280.08</v>
      </c>
      <c r="K38" s="181">
        <f t="shared" si="25"/>
        <v>28506</v>
      </c>
      <c r="L38" s="182">
        <f t="shared" si="26"/>
        <v>12611.054400000001</v>
      </c>
      <c r="M38" s="182">
        <f t="shared" si="29"/>
        <v>41117.054400000001</v>
      </c>
      <c r="N38" s="182">
        <f t="shared" si="27"/>
        <v>1235.0544000000009</v>
      </c>
      <c r="O38" s="182">
        <f t="shared" si="28"/>
        <v>3.096771475853771</v>
      </c>
    </row>
    <row r="39" spans="1:15" x14ac:dyDescent="0.25">
      <c r="A39" s="55" t="s">
        <v>6</v>
      </c>
      <c r="B39" s="56">
        <v>8070</v>
      </c>
      <c r="C39" s="53">
        <v>25884.011999999999</v>
      </c>
      <c r="D39" s="53">
        <f t="shared" si="30"/>
        <v>33954.012000000002</v>
      </c>
      <c r="E39" s="53">
        <f t="shared" si="23"/>
        <v>34843.031999999999</v>
      </c>
      <c r="F39" s="53">
        <f t="shared" si="31"/>
        <v>42913.031999999999</v>
      </c>
      <c r="G39" s="54">
        <f t="shared" si="32"/>
        <v>8959.0199999999968</v>
      </c>
      <c r="H39" s="180">
        <f t="shared" si="24"/>
        <v>26.385747875685489</v>
      </c>
      <c r="J39" s="75">
        <v>280.08</v>
      </c>
      <c r="K39" s="181">
        <f t="shared" si="25"/>
        <v>30672.456000000002</v>
      </c>
      <c r="L39" s="182">
        <f t="shared" si="26"/>
        <v>13569.494534400001</v>
      </c>
      <c r="M39" s="182">
        <f t="shared" si="29"/>
        <v>44241.950534400006</v>
      </c>
      <c r="N39" s="182">
        <f t="shared" si="27"/>
        <v>1328.918534400007</v>
      </c>
      <c r="O39" s="182">
        <f t="shared" si="28"/>
        <v>3.0967714758537852</v>
      </c>
    </row>
    <row r="40" spans="1:15" x14ac:dyDescent="0.25">
      <c r="A40" s="55" t="s">
        <v>7</v>
      </c>
      <c r="B40" s="56">
        <v>8830</v>
      </c>
      <c r="C40" s="53">
        <v>26704.356</v>
      </c>
      <c r="D40" s="53">
        <f t="shared" si="30"/>
        <v>35534.356</v>
      </c>
      <c r="E40" s="53">
        <f t="shared" si="23"/>
        <v>38124.407999999996</v>
      </c>
      <c r="F40" s="53">
        <f t="shared" si="31"/>
        <v>46954.407999999996</v>
      </c>
      <c r="G40" s="54">
        <f t="shared" si="32"/>
        <v>11420.051999999996</v>
      </c>
      <c r="H40" s="180">
        <f t="shared" si="24"/>
        <v>32.138058165455412</v>
      </c>
      <c r="J40" s="75">
        <v>280.08</v>
      </c>
      <c r="K40" s="181">
        <f t="shared" si="25"/>
        <v>33561.063999999998</v>
      </c>
      <c r="L40" s="182">
        <f t="shared" si="26"/>
        <v>14847.414713599999</v>
      </c>
      <c r="M40" s="182">
        <f t="shared" si="29"/>
        <v>48408.478713599994</v>
      </c>
      <c r="N40" s="182">
        <f t="shared" si="27"/>
        <v>1454.0707135999983</v>
      </c>
      <c r="O40" s="182">
        <f t="shared" si="28"/>
        <v>3.0967714758537652</v>
      </c>
    </row>
    <row r="41" spans="1:15" x14ac:dyDescent="0.25">
      <c r="A41" s="55" t="s">
        <v>8</v>
      </c>
      <c r="B41" s="56">
        <v>9670</v>
      </c>
      <c r="C41" s="53">
        <v>27611.052</v>
      </c>
      <c r="D41" s="53">
        <f t="shared" si="30"/>
        <v>37281.051999999996</v>
      </c>
      <c r="E41" s="53">
        <f t="shared" si="23"/>
        <v>41751.191999999995</v>
      </c>
      <c r="F41" s="53">
        <f t="shared" si="31"/>
        <v>51421.191999999995</v>
      </c>
      <c r="G41" s="54">
        <f t="shared" si="32"/>
        <v>14140.14</v>
      </c>
      <c r="H41" s="180">
        <f t="shared" si="24"/>
        <v>37.92848978617878</v>
      </c>
      <c r="J41" s="75">
        <v>280.08</v>
      </c>
      <c r="K41" s="181">
        <f t="shared" si="25"/>
        <v>36753.735999999997</v>
      </c>
      <c r="L41" s="182">
        <f t="shared" si="26"/>
        <v>16259.8528064</v>
      </c>
      <c r="M41" s="182">
        <f t="shared" si="29"/>
        <v>53013.588806399996</v>
      </c>
      <c r="N41" s="182">
        <f t="shared" si="27"/>
        <v>1592.3968064000001</v>
      </c>
      <c r="O41" s="182">
        <f t="shared" si="28"/>
        <v>3.0967714758537692</v>
      </c>
    </row>
    <row r="42" spans="1:15" x14ac:dyDescent="0.25">
      <c r="A42" s="55" t="s">
        <v>9</v>
      </c>
      <c r="B42" s="56">
        <v>10650</v>
      </c>
      <c r="C42" s="53">
        <v>28668.864000000001</v>
      </c>
      <c r="D42" s="53">
        <f t="shared" si="30"/>
        <v>39318.864000000001</v>
      </c>
      <c r="E42" s="53">
        <f t="shared" si="23"/>
        <v>45982.439999999995</v>
      </c>
      <c r="F42" s="53">
        <f t="shared" si="31"/>
        <v>56632.439999999995</v>
      </c>
      <c r="G42" s="54">
        <f t="shared" si="32"/>
        <v>17313.575999999994</v>
      </c>
      <c r="H42" s="180">
        <f t="shared" si="24"/>
        <v>44.0337645563717</v>
      </c>
      <c r="J42" s="75">
        <v>280.08</v>
      </c>
      <c r="K42" s="181">
        <f t="shared" si="25"/>
        <v>40478.520000000004</v>
      </c>
      <c r="L42" s="182">
        <f t="shared" si="26"/>
        <v>17907.697248000004</v>
      </c>
      <c r="M42" s="182">
        <f t="shared" si="29"/>
        <v>58386.217248000008</v>
      </c>
      <c r="N42" s="182">
        <f t="shared" si="27"/>
        <v>1753.7772480000131</v>
      </c>
      <c r="O42" s="182">
        <f t="shared" si="28"/>
        <v>3.0967714758537919</v>
      </c>
    </row>
    <row r="44" spans="1:15" ht="18.75" x14ac:dyDescent="0.3">
      <c r="A44" s="62" t="s">
        <v>52</v>
      </c>
    </row>
    <row r="46" spans="1:15" ht="15.75" x14ac:dyDescent="0.25">
      <c r="A46" s="191" t="s">
        <v>161</v>
      </c>
    </row>
    <row r="47" spans="1:15" ht="30" x14ac:dyDescent="0.25">
      <c r="A47" s="230" t="s">
        <v>54</v>
      </c>
      <c r="B47" s="230"/>
      <c r="C47" s="65" t="s">
        <v>169</v>
      </c>
      <c r="D47" s="197" t="s">
        <v>170</v>
      </c>
      <c r="E47" s="195" t="s">
        <v>168</v>
      </c>
      <c r="F47" s="63" t="s">
        <v>53</v>
      </c>
      <c r="G47" s="65" t="s">
        <v>57</v>
      </c>
    </row>
    <row r="48" spans="1:15" ht="27.75" customHeight="1" x14ac:dyDescent="0.25">
      <c r="A48" s="228" t="s">
        <v>160</v>
      </c>
      <c r="B48" s="228"/>
      <c r="C48" s="63">
        <v>8881</v>
      </c>
      <c r="D48" s="195">
        <v>2288</v>
      </c>
      <c r="E48" s="167">
        <v>0.18</v>
      </c>
      <c r="F48" s="63">
        <v>1799</v>
      </c>
      <c r="G48" s="67">
        <v>2.9664000000000001</v>
      </c>
      <c r="J48" s="188">
        <f>6352-D48</f>
        <v>4064</v>
      </c>
      <c r="K48" s="189">
        <f>J48/4</f>
        <v>1016</v>
      </c>
      <c r="L48" s="190">
        <f>K48*0.18</f>
        <v>182.88</v>
      </c>
    </row>
    <row r="49" spans="1:15" x14ac:dyDescent="0.25">
      <c r="A49" s="60" t="s">
        <v>14</v>
      </c>
      <c r="B49" s="59" t="s">
        <v>10</v>
      </c>
      <c r="C49" s="60" t="s">
        <v>11</v>
      </c>
      <c r="D49" s="60" t="s">
        <v>1</v>
      </c>
      <c r="E49" s="60" t="s">
        <v>12</v>
      </c>
      <c r="F49" s="60" t="s">
        <v>1</v>
      </c>
      <c r="G49" s="60" t="s">
        <v>0</v>
      </c>
      <c r="H49" s="179" t="s">
        <v>150</v>
      </c>
      <c r="J49" s="75" t="s">
        <v>157</v>
      </c>
      <c r="K49" s="48" t="s">
        <v>156</v>
      </c>
      <c r="L49" s="184" t="s">
        <v>158</v>
      </c>
      <c r="M49" s="179" t="s">
        <v>110</v>
      </c>
      <c r="N49" s="75" t="s">
        <v>153</v>
      </c>
      <c r="O49" s="75" t="s">
        <v>159</v>
      </c>
    </row>
    <row r="50" spans="1:15" x14ac:dyDescent="0.25">
      <c r="A50" s="55" t="s">
        <v>2</v>
      </c>
      <c r="B50" s="56">
        <f>13210/2</f>
        <v>6605</v>
      </c>
      <c r="C50" s="53">
        <f>B50*$G$48</f>
        <v>19593.072</v>
      </c>
      <c r="D50" s="53">
        <f>B50+C50</f>
        <v>26198.072</v>
      </c>
      <c r="E50" s="198" t="s">
        <v>25</v>
      </c>
      <c r="F50" s="198" t="s">
        <v>25</v>
      </c>
      <c r="G50" s="198" t="s">
        <v>25</v>
      </c>
      <c r="H50" s="198" t="s">
        <v>25</v>
      </c>
      <c r="J50" s="75">
        <v>182.88</v>
      </c>
      <c r="K50" s="181">
        <f t="shared" ref="K50:K57" si="33">B50+(B50*J50/100)</f>
        <v>18684.223999999998</v>
      </c>
      <c r="L50" s="182">
        <f t="shared" ref="L50:L57" si="34">K50*$O$6</f>
        <v>8265.9006976000001</v>
      </c>
      <c r="M50" s="182">
        <f>K50+L50</f>
        <v>26950.124697599997</v>
      </c>
      <c r="N50" s="182">
        <f t="shared" ref="N50:N57" si="35">M50-D50</f>
        <v>752.05269759999646</v>
      </c>
      <c r="O50" s="182">
        <f t="shared" ref="O50:O57" si="36">N50/D50*100</f>
        <v>2.8706413876562995</v>
      </c>
    </row>
    <row r="51" spans="1:15" x14ac:dyDescent="0.25">
      <c r="A51" s="55" t="s">
        <v>3</v>
      </c>
      <c r="B51" s="56">
        <v>9120</v>
      </c>
      <c r="C51" s="53">
        <f t="shared" ref="C51:C57" si="37">B51*$G$48</f>
        <v>27053.568000000003</v>
      </c>
      <c r="D51" s="53">
        <f>B51+C51</f>
        <v>36173.567999999999</v>
      </c>
      <c r="E51" s="198" t="s">
        <v>25</v>
      </c>
      <c r="F51" s="198" t="s">
        <v>25</v>
      </c>
      <c r="G51" s="198" t="s">
        <v>25</v>
      </c>
      <c r="H51" s="198" t="s">
        <v>25</v>
      </c>
      <c r="J51" s="75">
        <v>182.88</v>
      </c>
      <c r="K51" s="181">
        <f t="shared" si="33"/>
        <v>25798.655999999999</v>
      </c>
      <c r="L51" s="182">
        <f t="shared" si="34"/>
        <v>11413.3254144</v>
      </c>
      <c r="M51" s="182">
        <f t="shared" ref="M51:M57" si="38">K51+L51</f>
        <v>37211.981414399997</v>
      </c>
      <c r="N51" s="182">
        <f t="shared" si="35"/>
        <v>1038.4134143999981</v>
      </c>
      <c r="O51" s="182">
        <f t="shared" si="36"/>
        <v>2.8706413876563079</v>
      </c>
    </row>
    <row r="52" spans="1:15" x14ac:dyDescent="0.25">
      <c r="A52" s="55" t="s">
        <v>4</v>
      </c>
      <c r="B52" s="56">
        <f>19920/2</f>
        <v>9960</v>
      </c>
      <c r="C52" s="53">
        <f t="shared" si="37"/>
        <v>29545.344000000001</v>
      </c>
      <c r="D52" s="53">
        <f>B52+C52</f>
        <v>39505.343999999997</v>
      </c>
      <c r="E52" s="198" t="s">
        <v>25</v>
      </c>
      <c r="F52" s="198" t="s">
        <v>25</v>
      </c>
      <c r="G52" s="198" t="s">
        <v>25</v>
      </c>
      <c r="H52" s="198" t="s">
        <v>25</v>
      </c>
      <c r="J52" s="75">
        <v>182.88</v>
      </c>
      <c r="K52" s="181">
        <f t="shared" si="33"/>
        <v>28174.848000000002</v>
      </c>
      <c r="L52" s="182">
        <f t="shared" si="34"/>
        <v>12464.5527552</v>
      </c>
      <c r="M52" s="182">
        <f t="shared" si="38"/>
        <v>40639.400755200004</v>
      </c>
      <c r="N52" s="182">
        <f t="shared" si="35"/>
        <v>1134.0567552000066</v>
      </c>
      <c r="O52" s="182">
        <f t="shared" si="36"/>
        <v>2.8706413876563297</v>
      </c>
    </row>
    <row r="53" spans="1:15" x14ac:dyDescent="0.25">
      <c r="A53" s="55" t="s">
        <v>5</v>
      </c>
      <c r="B53" s="56">
        <f>22280/2</f>
        <v>11140</v>
      </c>
      <c r="C53" s="53">
        <f t="shared" si="37"/>
        <v>33045.696000000004</v>
      </c>
      <c r="D53" s="53">
        <f t="shared" ref="D53:D57" si="39">B53+C53</f>
        <v>44185.696000000004</v>
      </c>
      <c r="E53" s="198" t="s">
        <v>25</v>
      </c>
      <c r="F53" s="198" t="s">
        <v>25</v>
      </c>
      <c r="G53" s="198" t="s">
        <v>25</v>
      </c>
      <c r="H53" s="198" t="s">
        <v>25</v>
      </c>
      <c r="J53" s="75">
        <v>182.88</v>
      </c>
      <c r="K53" s="181">
        <f t="shared" si="33"/>
        <v>31512.831999999999</v>
      </c>
      <c r="L53" s="182">
        <f t="shared" si="34"/>
        <v>13941.276876800001</v>
      </c>
      <c r="M53" s="182">
        <f t="shared" si="38"/>
        <v>45454.108876799997</v>
      </c>
      <c r="N53" s="182">
        <f t="shared" si="35"/>
        <v>1268.4128767999937</v>
      </c>
      <c r="O53" s="182">
        <f t="shared" si="36"/>
        <v>2.8706413876562986</v>
      </c>
    </row>
    <row r="54" spans="1:15" x14ac:dyDescent="0.25">
      <c r="A54" s="55" t="s">
        <v>6</v>
      </c>
      <c r="B54" s="56">
        <f>24140/2</f>
        <v>12070</v>
      </c>
      <c r="C54" s="53">
        <f t="shared" si="37"/>
        <v>35804.448000000004</v>
      </c>
      <c r="D54" s="53">
        <f t="shared" si="39"/>
        <v>47874.448000000004</v>
      </c>
      <c r="E54" s="198" t="s">
        <v>25</v>
      </c>
      <c r="F54" s="198" t="s">
        <v>25</v>
      </c>
      <c r="G54" s="198" t="s">
        <v>25</v>
      </c>
      <c r="H54" s="198" t="s">
        <v>25</v>
      </c>
      <c r="J54" s="75">
        <v>182.88</v>
      </c>
      <c r="K54" s="181">
        <f t="shared" si="33"/>
        <v>34143.616000000002</v>
      </c>
      <c r="L54" s="182">
        <f t="shared" si="34"/>
        <v>15105.135718400001</v>
      </c>
      <c r="M54" s="182">
        <f t="shared" si="38"/>
        <v>49248.751718400003</v>
      </c>
      <c r="N54" s="182">
        <f t="shared" si="35"/>
        <v>1374.3037183999986</v>
      </c>
      <c r="O54" s="182">
        <f t="shared" si="36"/>
        <v>2.8706413876563102</v>
      </c>
    </row>
    <row r="55" spans="1:15" x14ac:dyDescent="0.25">
      <c r="A55" s="55" t="s">
        <v>7</v>
      </c>
      <c r="B55" s="56">
        <f>26620/2</f>
        <v>13310</v>
      </c>
      <c r="C55" s="53">
        <f t="shared" si="37"/>
        <v>39482.784</v>
      </c>
      <c r="D55" s="53">
        <f t="shared" si="39"/>
        <v>52792.784</v>
      </c>
      <c r="E55" s="198" t="s">
        <v>25</v>
      </c>
      <c r="F55" s="198" t="s">
        <v>25</v>
      </c>
      <c r="G55" s="198" t="s">
        <v>25</v>
      </c>
      <c r="H55" s="198" t="s">
        <v>25</v>
      </c>
      <c r="J55" s="75">
        <v>182.88</v>
      </c>
      <c r="K55" s="181">
        <f t="shared" si="33"/>
        <v>37651.327999999994</v>
      </c>
      <c r="L55" s="182">
        <f t="shared" si="34"/>
        <v>16656.947507199999</v>
      </c>
      <c r="M55" s="182">
        <f t="shared" si="38"/>
        <v>54308.275507199993</v>
      </c>
      <c r="N55" s="182">
        <f t="shared" si="35"/>
        <v>1515.4915071999931</v>
      </c>
      <c r="O55" s="182">
        <f t="shared" si="36"/>
        <v>2.8706413876562999</v>
      </c>
    </row>
    <row r="56" spans="1:15" x14ac:dyDescent="0.25">
      <c r="A56" s="55" t="s">
        <v>8</v>
      </c>
      <c r="B56" s="56">
        <f>29340/2</f>
        <v>14670</v>
      </c>
      <c r="C56" s="53">
        <f t="shared" si="37"/>
        <v>43517.088000000003</v>
      </c>
      <c r="D56" s="53">
        <f t="shared" si="39"/>
        <v>58187.088000000003</v>
      </c>
      <c r="E56" s="198" t="s">
        <v>25</v>
      </c>
      <c r="F56" s="198" t="s">
        <v>25</v>
      </c>
      <c r="G56" s="198" t="s">
        <v>25</v>
      </c>
      <c r="H56" s="198" t="s">
        <v>25</v>
      </c>
      <c r="J56" s="75">
        <v>182.88</v>
      </c>
      <c r="K56" s="181">
        <f t="shared" si="33"/>
        <v>41498.495999999999</v>
      </c>
      <c r="L56" s="182">
        <f t="shared" si="34"/>
        <v>18358.934630399999</v>
      </c>
      <c r="M56" s="182">
        <f t="shared" si="38"/>
        <v>59857.430630399998</v>
      </c>
      <c r="N56" s="182">
        <f t="shared" si="35"/>
        <v>1670.342630399995</v>
      </c>
      <c r="O56" s="182">
        <f t="shared" si="36"/>
        <v>2.8706413876563039</v>
      </c>
    </row>
    <row r="57" spans="1:15" x14ac:dyDescent="0.25">
      <c r="A57" s="55" t="s">
        <v>9</v>
      </c>
      <c r="B57" s="56">
        <f>32600/2</f>
        <v>16300</v>
      </c>
      <c r="C57" s="53">
        <f t="shared" si="37"/>
        <v>48352.32</v>
      </c>
      <c r="D57" s="53">
        <f t="shared" si="39"/>
        <v>64652.32</v>
      </c>
      <c r="E57" s="198" t="s">
        <v>25</v>
      </c>
      <c r="F57" s="198" t="s">
        <v>25</v>
      </c>
      <c r="G57" s="198" t="s">
        <v>25</v>
      </c>
      <c r="H57" s="198" t="s">
        <v>25</v>
      </c>
      <c r="J57" s="75">
        <v>182.88</v>
      </c>
      <c r="K57" s="181">
        <f t="shared" si="33"/>
        <v>46109.440000000002</v>
      </c>
      <c r="L57" s="182">
        <f t="shared" si="34"/>
        <v>20398.816256000002</v>
      </c>
      <c r="M57" s="182">
        <f t="shared" si="38"/>
        <v>66508.256256000008</v>
      </c>
      <c r="N57" s="182">
        <f t="shared" si="35"/>
        <v>1855.9362560000081</v>
      </c>
      <c r="O57" s="182">
        <f t="shared" si="36"/>
        <v>2.8706413876563257</v>
      </c>
    </row>
    <row r="59" spans="1:15" ht="15.75" x14ac:dyDescent="0.25">
      <c r="A59" s="191" t="s">
        <v>165</v>
      </c>
    </row>
    <row r="60" spans="1:15" ht="30" x14ac:dyDescent="0.25">
      <c r="A60" s="230" t="s">
        <v>54</v>
      </c>
      <c r="B60" s="230"/>
      <c r="C60" s="65" t="s">
        <v>169</v>
      </c>
      <c r="D60" s="197" t="s">
        <v>170</v>
      </c>
      <c r="E60" s="195" t="s">
        <v>168</v>
      </c>
      <c r="F60" s="63" t="s">
        <v>53</v>
      </c>
      <c r="G60" s="65" t="s">
        <v>57</v>
      </c>
    </row>
    <row r="61" spans="1:15" x14ac:dyDescent="0.25">
      <c r="A61" s="228" t="s">
        <v>171</v>
      </c>
      <c r="B61" s="228"/>
      <c r="C61" s="63">
        <v>8881</v>
      </c>
      <c r="D61" s="195">
        <v>2836</v>
      </c>
      <c r="E61" s="167">
        <v>0.15</v>
      </c>
      <c r="F61" s="63">
        <v>1799</v>
      </c>
      <c r="G61" s="67">
        <v>2.2665000000000002</v>
      </c>
      <c r="J61" s="188">
        <f>6352-D61</f>
        <v>3516</v>
      </c>
      <c r="K61" s="189">
        <f>J61/4</f>
        <v>879</v>
      </c>
      <c r="L61" s="190">
        <f>K61*0.15</f>
        <v>131.85</v>
      </c>
    </row>
    <row r="62" spans="1:15" x14ac:dyDescent="0.25">
      <c r="A62" s="60" t="s">
        <v>14</v>
      </c>
      <c r="B62" s="59" t="s">
        <v>10</v>
      </c>
      <c r="C62" s="60" t="s">
        <v>11</v>
      </c>
      <c r="D62" s="60" t="s">
        <v>1</v>
      </c>
      <c r="E62" s="60" t="s">
        <v>12</v>
      </c>
      <c r="F62" s="60" t="s">
        <v>1</v>
      </c>
      <c r="G62" s="60" t="s">
        <v>0</v>
      </c>
      <c r="H62" s="179" t="s">
        <v>150</v>
      </c>
      <c r="J62" s="75" t="s">
        <v>157</v>
      </c>
      <c r="K62" s="48" t="s">
        <v>156</v>
      </c>
      <c r="L62" s="184" t="s">
        <v>158</v>
      </c>
      <c r="M62" s="179" t="s">
        <v>110</v>
      </c>
      <c r="N62" s="75" t="s">
        <v>153</v>
      </c>
      <c r="O62" s="75" t="s">
        <v>159</v>
      </c>
    </row>
    <row r="63" spans="1:15" x14ac:dyDescent="0.25">
      <c r="A63" s="55" t="s">
        <v>2</v>
      </c>
      <c r="B63" s="56">
        <f>21240/2</f>
        <v>10620</v>
      </c>
      <c r="C63" s="53">
        <f>B63*$G$61</f>
        <v>24070.230000000003</v>
      </c>
      <c r="D63" s="53">
        <f>B63+C63</f>
        <v>34690.230000000003</v>
      </c>
      <c r="E63" s="198" t="s">
        <v>25</v>
      </c>
      <c r="F63" s="198" t="s">
        <v>25</v>
      </c>
      <c r="G63" s="198" t="s">
        <v>25</v>
      </c>
      <c r="H63" s="198" t="s">
        <v>25</v>
      </c>
      <c r="J63">
        <v>131.88</v>
      </c>
      <c r="K63" s="181">
        <f t="shared" ref="K63:K70" si="40">B63+(B63*J63/100)</f>
        <v>24625.655999999999</v>
      </c>
      <c r="L63" s="182">
        <f t="shared" ref="L63:L70" si="41">K63*$O$6</f>
        <v>10894.3902144</v>
      </c>
      <c r="M63" s="182">
        <f>K63+L63</f>
        <v>35520.046214399998</v>
      </c>
      <c r="N63" s="182">
        <f t="shared" ref="N63:N70" si="42">M63-D63</f>
        <v>829.81621439999435</v>
      </c>
      <c r="O63" s="182">
        <f t="shared" ref="O63:O70" si="43">N63/D63*100</f>
        <v>2.3920746976886411</v>
      </c>
    </row>
    <row r="64" spans="1:15" x14ac:dyDescent="0.25">
      <c r="A64" s="55" t="s">
        <v>3</v>
      </c>
      <c r="B64" s="56">
        <f>25700/2</f>
        <v>12850</v>
      </c>
      <c r="C64" s="53">
        <f t="shared" ref="C64:C70" si="44">B64*$G$61</f>
        <v>29124.525000000001</v>
      </c>
      <c r="D64" s="53">
        <f>B64+C64</f>
        <v>41974.525000000001</v>
      </c>
      <c r="E64" s="198" t="s">
        <v>25</v>
      </c>
      <c r="F64" s="198" t="s">
        <v>25</v>
      </c>
      <c r="G64" s="198" t="s">
        <v>25</v>
      </c>
      <c r="H64" s="198" t="s">
        <v>25</v>
      </c>
      <c r="J64">
        <v>131.88</v>
      </c>
      <c r="K64" s="181">
        <f t="shared" si="40"/>
        <v>29796.58</v>
      </c>
      <c r="L64" s="182">
        <f t="shared" si="41"/>
        <v>13182.006992000001</v>
      </c>
      <c r="M64" s="182">
        <f t="shared" ref="M64:M70" si="45">K64+L64</f>
        <v>42978.586992000004</v>
      </c>
      <c r="N64" s="182">
        <f t="shared" si="42"/>
        <v>1004.0619920000026</v>
      </c>
      <c r="O64" s="182">
        <f t="shared" si="43"/>
        <v>2.3920746976886638</v>
      </c>
    </row>
    <row r="65" spans="1:15" x14ac:dyDescent="0.25">
      <c r="A65" s="55" t="s">
        <v>4</v>
      </c>
      <c r="B65" s="56">
        <f>28100/2</f>
        <v>14050</v>
      </c>
      <c r="C65" s="53">
        <f t="shared" si="44"/>
        <v>31844.325000000004</v>
      </c>
      <c r="D65" s="53">
        <f>B65+C65</f>
        <v>45894.325000000004</v>
      </c>
      <c r="E65" s="198" t="s">
        <v>25</v>
      </c>
      <c r="F65" s="198" t="s">
        <v>25</v>
      </c>
      <c r="G65" s="198" t="s">
        <v>25</v>
      </c>
      <c r="H65" s="198" t="s">
        <v>25</v>
      </c>
      <c r="J65">
        <v>131.88</v>
      </c>
      <c r="K65" s="181">
        <f t="shared" si="40"/>
        <v>32579.14</v>
      </c>
      <c r="L65" s="182">
        <f t="shared" si="41"/>
        <v>14413.011536</v>
      </c>
      <c r="M65" s="182">
        <f t="shared" si="45"/>
        <v>46992.151535999998</v>
      </c>
      <c r="N65" s="182">
        <f t="shared" si="42"/>
        <v>1097.8265359999932</v>
      </c>
      <c r="O65" s="182">
        <f t="shared" si="43"/>
        <v>2.3920746976886424</v>
      </c>
    </row>
    <row r="66" spans="1:15" x14ac:dyDescent="0.25">
      <c r="A66" s="55" t="s">
        <v>5</v>
      </c>
      <c r="B66" s="56">
        <f>31500/2</f>
        <v>15750</v>
      </c>
      <c r="C66" s="53">
        <f t="shared" si="44"/>
        <v>35697.375</v>
      </c>
      <c r="D66" s="53">
        <f t="shared" ref="D66:D70" si="46">B66+C66</f>
        <v>51447.375</v>
      </c>
      <c r="E66" s="198" t="s">
        <v>25</v>
      </c>
      <c r="F66" s="198" t="s">
        <v>25</v>
      </c>
      <c r="G66" s="198" t="s">
        <v>25</v>
      </c>
      <c r="H66" s="198" t="s">
        <v>25</v>
      </c>
      <c r="J66">
        <v>131.88</v>
      </c>
      <c r="K66" s="181">
        <f t="shared" si="40"/>
        <v>36521.1</v>
      </c>
      <c r="L66" s="182">
        <f t="shared" si="41"/>
        <v>16156.934639999999</v>
      </c>
      <c r="M66" s="182">
        <f t="shared" si="45"/>
        <v>52678.034639999998</v>
      </c>
      <c r="N66" s="182">
        <f t="shared" si="42"/>
        <v>1230.659639999998</v>
      </c>
      <c r="O66" s="182">
        <f t="shared" si="43"/>
        <v>2.3920746976886536</v>
      </c>
    </row>
    <row r="67" spans="1:15" x14ac:dyDescent="0.25">
      <c r="A67" s="55" t="s">
        <v>6</v>
      </c>
      <c r="B67" s="56">
        <f>36200/2</f>
        <v>18100</v>
      </c>
      <c r="C67" s="53">
        <f t="shared" si="44"/>
        <v>41023.65</v>
      </c>
      <c r="D67" s="53">
        <f t="shared" si="46"/>
        <v>59123.65</v>
      </c>
      <c r="E67" s="198" t="s">
        <v>25</v>
      </c>
      <c r="F67" s="198" t="s">
        <v>25</v>
      </c>
      <c r="G67" s="198" t="s">
        <v>25</v>
      </c>
      <c r="H67" s="198" t="s">
        <v>25</v>
      </c>
      <c r="J67">
        <v>131.88</v>
      </c>
      <c r="K67" s="181">
        <f t="shared" si="40"/>
        <v>41970.28</v>
      </c>
      <c r="L67" s="182">
        <f t="shared" si="41"/>
        <v>18567.651871999999</v>
      </c>
      <c r="M67" s="182">
        <f t="shared" si="45"/>
        <v>60537.931872000001</v>
      </c>
      <c r="N67" s="182">
        <f t="shared" si="42"/>
        <v>1414.2818719999996</v>
      </c>
      <c r="O67" s="182">
        <f t="shared" si="43"/>
        <v>2.3920746976886567</v>
      </c>
    </row>
    <row r="68" spans="1:15" x14ac:dyDescent="0.25">
      <c r="A68" s="55" t="s">
        <v>7</v>
      </c>
      <c r="B68" s="56">
        <f>40400/2</f>
        <v>20200</v>
      </c>
      <c r="C68" s="53">
        <f t="shared" si="44"/>
        <v>45783.3</v>
      </c>
      <c r="D68" s="53">
        <f t="shared" si="46"/>
        <v>65983.3</v>
      </c>
      <c r="E68" s="198" t="s">
        <v>25</v>
      </c>
      <c r="F68" s="198" t="s">
        <v>25</v>
      </c>
      <c r="G68" s="198" t="s">
        <v>25</v>
      </c>
      <c r="H68" s="198" t="s">
        <v>25</v>
      </c>
      <c r="J68">
        <v>131.88</v>
      </c>
      <c r="K68" s="181">
        <f t="shared" si="40"/>
        <v>46839.759999999995</v>
      </c>
      <c r="L68" s="182">
        <f t="shared" si="41"/>
        <v>20721.909823999998</v>
      </c>
      <c r="M68" s="182">
        <f t="shared" si="45"/>
        <v>67561.669823999997</v>
      </c>
      <c r="N68" s="182">
        <f t="shared" si="42"/>
        <v>1578.369823999994</v>
      </c>
      <c r="O68" s="182">
        <f t="shared" si="43"/>
        <v>2.3920746976886487</v>
      </c>
    </row>
    <row r="69" spans="1:15" x14ac:dyDescent="0.25">
      <c r="A69" s="55" t="s">
        <v>8</v>
      </c>
      <c r="B69" s="56">
        <f>46800/2</f>
        <v>23400</v>
      </c>
      <c r="C69" s="53">
        <f t="shared" si="44"/>
        <v>53036.100000000006</v>
      </c>
      <c r="D69" s="53">
        <f t="shared" si="46"/>
        <v>76436.100000000006</v>
      </c>
      <c r="E69" s="198" t="s">
        <v>25</v>
      </c>
      <c r="F69" s="198" t="s">
        <v>25</v>
      </c>
      <c r="G69" s="198" t="s">
        <v>25</v>
      </c>
      <c r="H69" s="198" t="s">
        <v>25</v>
      </c>
      <c r="J69">
        <v>131.88</v>
      </c>
      <c r="K69" s="181">
        <f t="shared" si="40"/>
        <v>54259.92</v>
      </c>
      <c r="L69" s="182">
        <f t="shared" si="41"/>
        <v>24004.588608000002</v>
      </c>
      <c r="M69" s="182">
        <f t="shared" si="45"/>
        <v>78264.508608000004</v>
      </c>
      <c r="N69" s="182">
        <f t="shared" si="42"/>
        <v>1828.4086079999979</v>
      </c>
      <c r="O69" s="182">
        <f t="shared" si="43"/>
        <v>2.3920746976886549</v>
      </c>
    </row>
    <row r="70" spans="1:15" x14ac:dyDescent="0.25">
      <c r="A70" s="55" t="s">
        <v>9</v>
      </c>
      <c r="B70" s="56">
        <f>52000/2</f>
        <v>26000</v>
      </c>
      <c r="C70" s="53">
        <f t="shared" si="44"/>
        <v>58929.000000000007</v>
      </c>
      <c r="D70" s="53">
        <f t="shared" si="46"/>
        <v>84929</v>
      </c>
      <c r="E70" s="198" t="s">
        <v>25</v>
      </c>
      <c r="F70" s="198" t="s">
        <v>25</v>
      </c>
      <c r="G70" s="198" t="s">
        <v>25</v>
      </c>
      <c r="H70" s="198" t="s">
        <v>25</v>
      </c>
      <c r="J70">
        <v>131.88</v>
      </c>
      <c r="K70" s="181">
        <f t="shared" si="40"/>
        <v>60288.800000000003</v>
      </c>
      <c r="L70" s="182">
        <f t="shared" si="41"/>
        <v>26671.765120000004</v>
      </c>
      <c r="M70" s="182">
        <f t="shared" si="45"/>
        <v>86960.565120000014</v>
      </c>
      <c r="N70" s="182">
        <f t="shared" si="42"/>
        <v>2031.5651200000138</v>
      </c>
      <c r="O70" s="182">
        <f t="shared" si="43"/>
        <v>2.392074697688674</v>
      </c>
    </row>
    <row r="72" spans="1:15" ht="15.75" x14ac:dyDescent="0.25">
      <c r="A72" s="191" t="s">
        <v>166</v>
      </c>
    </row>
    <row r="73" spans="1:15" ht="30" x14ac:dyDescent="0.25">
      <c r="A73" s="230" t="s">
        <v>54</v>
      </c>
      <c r="B73" s="230"/>
      <c r="C73" s="65" t="s">
        <v>169</v>
      </c>
      <c r="D73" s="197" t="s">
        <v>170</v>
      </c>
      <c r="E73" s="195" t="s">
        <v>168</v>
      </c>
      <c r="F73" s="63" t="s">
        <v>53</v>
      </c>
      <c r="G73" s="65" t="s">
        <v>57</v>
      </c>
    </row>
    <row r="74" spans="1:15" x14ac:dyDescent="0.25">
      <c r="A74" s="228" t="s">
        <v>172</v>
      </c>
      <c r="B74" s="228"/>
      <c r="C74" s="63">
        <v>8881</v>
      </c>
      <c r="D74" s="195">
        <v>4440</v>
      </c>
      <c r="E74" s="167">
        <v>0.1</v>
      </c>
      <c r="F74" s="63">
        <v>1799</v>
      </c>
      <c r="G74" s="67">
        <v>1.1100000000000001</v>
      </c>
      <c r="J74" s="188">
        <f>6352-D74</f>
        <v>1912</v>
      </c>
      <c r="K74" s="189">
        <f>J74/4</f>
        <v>478</v>
      </c>
      <c r="L74" s="190">
        <f>K74*0.1</f>
        <v>47.800000000000004</v>
      </c>
    </row>
    <row r="75" spans="1:15" x14ac:dyDescent="0.25">
      <c r="A75" s="60" t="s">
        <v>14</v>
      </c>
      <c r="B75" s="59" t="s">
        <v>10</v>
      </c>
      <c r="C75" s="60" t="s">
        <v>11</v>
      </c>
      <c r="D75" s="60" t="s">
        <v>1</v>
      </c>
      <c r="E75" s="60" t="s">
        <v>12</v>
      </c>
      <c r="F75" s="60" t="s">
        <v>1</v>
      </c>
      <c r="G75" s="60" t="s">
        <v>0</v>
      </c>
      <c r="H75" s="179" t="s">
        <v>150</v>
      </c>
      <c r="J75" s="75" t="s">
        <v>157</v>
      </c>
      <c r="K75" s="48" t="s">
        <v>156</v>
      </c>
      <c r="L75" s="184" t="s">
        <v>158</v>
      </c>
      <c r="M75" s="179" t="s">
        <v>110</v>
      </c>
      <c r="N75" s="75" t="s">
        <v>153</v>
      </c>
      <c r="O75" s="75" t="s">
        <v>159</v>
      </c>
    </row>
    <row r="76" spans="1:15" x14ac:dyDescent="0.25">
      <c r="A76" s="55" t="s">
        <v>2</v>
      </c>
      <c r="B76" s="56">
        <f>31540/2</f>
        <v>15770</v>
      </c>
      <c r="C76" s="53">
        <f>B76*$G$74</f>
        <v>17504.7</v>
      </c>
      <c r="D76" s="53">
        <f>B76+C76</f>
        <v>33274.699999999997</v>
      </c>
      <c r="E76" s="198" t="s">
        <v>25</v>
      </c>
      <c r="F76" s="198" t="s">
        <v>25</v>
      </c>
      <c r="G76" s="198" t="s">
        <v>25</v>
      </c>
      <c r="H76" s="198" t="s">
        <v>25</v>
      </c>
      <c r="J76" s="75">
        <v>47.8</v>
      </c>
      <c r="K76" s="181">
        <f t="shared" ref="K76:K83" si="47">B76+(B76*J76/100)</f>
        <v>23308.06</v>
      </c>
      <c r="L76" s="182">
        <f t="shared" ref="L76:L83" si="48">K76*$O$6</f>
        <v>10311.485744000001</v>
      </c>
      <c r="M76" s="182">
        <f>K76+L76</f>
        <v>33619.545744000003</v>
      </c>
      <c r="N76" s="182">
        <f t="shared" ref="N76:N83" si="49">M76-D76</f>
        <v>344.84574400000565</v>
      </c>
      <c r="O76" s="182">
        <f t="shared" ref="O76:O83" si="50">N76/D76*100</f>
        <v>1.0363601895734769</v>
      </c>
    </row>
    <row r="77" spans="1:15" x14ac:dyDescent="0.25">
      <c r="A77" s="55" t="s">
        <v>3</v>
      </c>
      <c r="B77" s="56">
        <f>42020/2</f>
        <v>21010</v>
      </c>
      <c r="C77" s="53">
        <f t="shared" ref="C77:C83" si="51">B77*$G$74</f>
        <v>23321.100000000002</v>
      </c>
      <c r="D77" s="53">
        <f>B77+C77</f>
        <v>44331.100000000006</v>
      </c>
      <c r="E77" s="198" t="s">
        <v>25</v>
      </c>
      <c r="F77" s="198" t="s">
        <v>25</v>
      </c>
      <c r="G77" s="198" t="s">
        <v>25</v>
      </c>
      <c r="H77" s="198" t="s">
        <v>25</v>
      </c>
      <c r="J77" s="75">
        <v>47.8</v>
      </c>
      <c r="K77" s="181">
        <f t="shared" si="47"/>
        <v>31052.78</v>
      </c>
      <c r="L77" s="182">
        <f t="shared" si="48"/>
        <v>13737.749872</v>
      </c>
      <c r="M77" s="182">
        <f t="shared" ref="M77:M83" si="52">K77+L77</f>
        <v>44790.529871999999</v>
      </c>
      <c r="N77" s="182">
        <f t="shared" si="49"/>
        <v>459.42987199999334</v>
      </c>
      <c r="O77" s="182">
        <f t="shared" si="50"/>
        <v>1.0363601895734444</v>
      </c>
    </row>
    <row r="78" spans="1:15" x14ac:dyDescent="0.25">
      <c r="A78" s="55" t="s">
        <v>4</v>
      </c>
      <c r="B78" s="56">
        <f>45950/2</f>
        <v>22975</v>
      </c>
      <c r="C78" s="53">
        <f t="shared" si="51"/>
        <v>25502.250000000004</v>
      </c>
      <c r="D78" s="53">
        <f>B78+C78</f>
        <v>48477.25</v>
      </c>
      <c r="E78" s="198" t="s">
        <v>25</v>
      </c>
      <c r="F78" s="198" t="s">
        <v>25</v>
      </c>
      <c r="G78" s="198" t="s">
        <v>25</v>
      </c>
      <c r="H78" s="198" t="s">
        <v>25</v>
      </c>
      <c r="J78" s="75">
        <v>47.8</v>
      </c>
      <c r="K78" s="181">
        <f t="shared" si="47"/>
        <v>33957.050000000003</v>
      </c>
      <c r="L78" s="182">
        <f t="shared" si="48"/>
        <v>15022.598920000002</v>
      </c>
      <c r="M78" s="182">
        <f t="shared" si="52"/>
        <v>48979.648920000007</v>
      </c>
      <c r="N78" s="182">
        <f t="shared" si="49"/>
        <v>502.39892000000691</v>
      </c>
      <c r="O78" s="182">
        <f t="shared" si="50"/>
        <v>1.036360189573474</v>
      </c>
    </row>
    <row r="79" spans="1:15" x14ac:dyDescent="0.25">
      <c r="A79" s="55" t="s">
        <v>5</v>
      </c>
      <c r="B79" s="56">
        <f>51490/2</f>
        <v>25745</v>
      </c>
      <c r="C79" s="53">
        <f t="shared" si="51"/>
        <v>28576.95</v>
      </c>
      <c r="D79" s="53">
        <f t="shared" ref="D79:D83" si="53">B79+C79</f>
        <v>54321.95</v>
      </c>
      <c r="E79" s="198" t="s">
        <v>25</v>
      </c>
      <c r="F79" s="198" t="s">
        <v>25</v>
      </c>
      <c r="G79" s="198" t="s">
        <v>25</v>
      </c>
      <c r="H79" s="198" t="s">
        <v>25</v>
      </c>
      <c r="J79" s="75">
        <v>47.8</v>
      </c>
      <c r="K79" s="181">
        <f t="shared" si="47"/>
        <v>38051.11</v>
      </c>
      <c r="L79" s="182">
        <f t="shared" si="48"/>
        <v>16833.811064000001</v>
      </c>
      <c r="M79" s="182">
        <f t="shared" si="52"/>
        <v>54884.921064000002</v>
      </c>
      <c r="N79" s="182">
        <f t="shared" si="49"/>
        <v>562.97106400000484</v>
      </c>
      <c r="O79" s="182">
        <f t="shared" si="50"/>
        <v>1.0363601895734686</v>
      </c>
    </row>
    <row r="80" spans="1:15" x14ac:dyDescent="0.25">
      <c r="A80" s="55" t="s">
        <v>6</v>
      </c>
      <c r="B80" s="56">
        <f>59170/2</f>
        <v>29585</v>
      </c>
      <c r="C80" s="53">
        <f t="shared" si="51"/>
        <v>32839.350000000006</v>
      </c>
      <c r="D80" s="53">
        <f t="shared" si="53"/>
        <v>62424.350000000006</v>
      </c>
      <c r="E80" s="198" t="s">
        <v>25</v>
      </c>
      <c r="F80" s="198" t="s">
        <v>25</v>
      </c>
      <c r="G80" s="198" t="s">
        <v>25</v>
      </c>
      <c r="H80" s="198" t="s">
        <v>25</v>
      </c>
      <c r="J80" s="75">
        <v>47.8</v>
      </c>
      <c r="K80" s="181">
        <f t="shared" si="47"/>
        <v>43726.63</v>
      </c>
      <c r="L80" s="182">
        <f t="shared" si="48"/>
        <v>19344.661111999998</v>
      </c>
      <c r="M80" s="182">
        <f t="shared" si="52"/>
        <v>63071.291111999992</v>
      </c>
      <c r="N80" s="182">
        <f t="shared" si="49"/>
        <v>646.94111199998588</v>
      </c>
      <c r="O80" s="182">
        <f t="shared" si="50"/>
        <v>1.0363601895734371</v>
      </c>
    </row>
    <row r="81" spans="1:15" x14ac:dyDescent="0.25">
      <c r="A81" s="55" t="s">
        <v>7</v>
      </c>
      <c r="B81" s="56">
        <f>66070/2</f>
        <v>33035</v>
      </c>
      <c r="C81" s="53">
        <f t="shared" si="51"/>
        <v>36668.850000000006</v>
      </c>
      <c r="D81" s="53">
        <f t="shared" si="53"/>
        <v>69703.850000000006</v>
      </c>
      <c r="E81" s="198" t="s">
        <v>25</v>
      </c>
      <c r="F81" s="198" t="s">
        <v>25</v>
      </c>
      <c r="G81" s="198" t="s">
        <v>25</v>
      </c>
      <c r="H81" s="198" t="s">
        <v>25</v>
      </c>
      <c r="J81" s="75">
        <v>47.8</v>
      </c>
      <c r="K81" s="181">
        <f t="shared" si="47"/>
        <v>48825.729999999996</v>
      </c>
      <c r="L81" s="182">
        <f t="shared" si="48"/>
        <v>21600.502951999999</v>
      </c>
      <c r="M81" s="182">
        <f t="shared" si="52"/>
        <v>70426.232951999991</v>
      </c>
      <c r="N81" s="182">
        <f t="shared" si="49"/>
        <v>722.38295199998538</v>
      </c>
      <c r="O81" s="182">
        <f t="shared" si="50"/>
        <v>1.0363601895734387</v>
      </c>
    </row>
    <row r="82" spans="1:15" x14ac:dyDescent="0.25">
      <c r="A82" s="55" t="s">
        <v>8</v>
      </c>
      <c r="B82" s="56">
        <f>76520/2</f>
        <v>38260</v>
      </c>
      <c r="C82" s="53">
        <f t="shared" si="51"/>
        <v>42468.600000000006</v>
      </c>
      <c r="D82" s="53">
        <f t="shared" si="53"/>
        <v>80728.600000000006</v>
      </c>
      <c r="E82" s="198" t="s">
        <v>25</v>
      </c>
      <c r="F82" s="198" t="s">
        <v>25</v>
      </c>
      <c r="G82" s="198" t="s">
        <v>25</v>
      </c>
      <c r="H82" s="198" t="s">
        <v>25</v>
      </c>
      <c r="J82" s="75">
        <v>47.8</v>
      </c>
      <c r="K82" s="181">
        <f t="shared" si="47"/>
        <v>56548.28</v>
      </c>
      <c r="L82" s="182">
        <f t="shared" si="48"/>
        <v>25016.959072000001</v>
      </c>
      <c r="M82" s="182">
        <f t="shared" si="52"/>
        <v>81565.239071999997</v>
      </c>
      <c r="N82" s="182">
        <f t="shared" si="49"/>
        <v>836.63907199999085</v>
      </c>
      <c r="O82" s="182">
        <f t="shared" si="50"/>
        <v>1.0363601895734482</v>
      </c>
    </row>
    <row r="83" spans="1:15" x14ac:dyDescent="0.25">
      <c r="A83" s="55" t="s">
        <v>9</v>
      </c>
      <c r="B83" s="56">
        <f>85000/2</f>
        <v>42500</v>
      </c>
      <c r="C83" s="53">
        <f t="shared" si="51"/>
        <v>47175.000000000007</v>
      </c>
      <c r="D83" s="53">
        <f t="shared" si="53"/>
        <v>89675</v>
      </c>
      <c r="E83" s="198" t="s">
        <v>25</v>
      </c>
      <c r="F83" s="198" t="s">
        <v>25</v>
      </c>
      <c r="G83" s="198" t="s">
        <v>25</v>
      </c>
      <c r="H83" s="198" t="s">
        <v>25</v>
      </c>
      <c r="J83" s="75">
        <v>47.8</v>
      </c>
      <c r="K83" s="181">
        <f t="shared" si="47"/>
        <v>62815</v>
      </c>
      <c r="L83" s="182">
        <f t="shared" si="48"/>
        <v>27789.356</v>
      </c>
      <c r="M83" s="182">
        <f t="shared" si="52"/>
        <v>90604.356</v>
      </c>
      <c r="N83" s="182">
        <f t="shared" si="49"/>
        <v>929.35599999999977</v>
      </c>
      <c r="O83" s="182">
        <f t="shared" si="50"/>
        <v>1.0363601895734593</v>
      </c>
    </row>
    <row r="85" spans="1:15" ht="15.75" x14ac:dyDescent="0.25">
      <c r="A85" s="191" t="s">
        <v>167</v>
      </c>
    </row>
    <row r="86" spans="1:15" ht="30" x14ac:dyDescent="0.25">
      <c r="A86" s="230" t="s">
        <v>54</v>
      </c>
      <c r="B86" s="230"/>
      <c r="C86" s="65" t="s">
        <v>169</v>
      </c>
      <c r="D86" s="197" t="s">
        <v>170</v>
      </c>
      <c r="E86" s="196" t="s">
        <v>168</v>
      </c>
      <c r="F86" s="63" t="s">
        <v>53</v>
      </c>
      <c r="G86" s="65" t="s">
        <v>57</v>
      </c>
    </row>
    <row r="87" spans="1:15" x14ac:dyDescent="0.25">
      <c r="A87" s="228" t="s">
        <v>13</v>
      </c>
      <c r="B87" s="228"/>
      <c r="C87" s="63">
        <v>8881</v>
      </c>
      <c r="D87" s="195">
        <v>6352</v>
      </c>
      <c r="E87" s="167">
        <v>7.0000000000000007E-2</v>
      </c>
      <c r="F87" s="63">
        <v>1799</v>
      </c>
      <c r="G87" s="67">
        <v>0.44240000000000002</v>
      </c>
    </row>
    <row r="88" spans="1:15" x14ac:dyDescent="0.25">
      <c r="A88" s="60" t="s">
        <v>14</v>
      </c>
      <c r="B88" s="59" t="s">
        <v>10</v>
      </c>
      <c r="C88" s="60" t="s">
        <v>11</v>
      </c>
      <c r="D88" s="60" t="s">
        <v>1</v>
      </c>
      <c r="E88" s="60" t="s">
        <v>12</v>
      </c>
      <c r="F88" s="60" t="s">
        <v>1</v>
      </c>
      <c r="G88" s="60" t="s">
        <v>0</v>
      </c>
    </row>
    <row r="89" spans="1:15" x14ac:dyDescent="0.25">
      <c r="A89" s="55" t="s">
        <v>2</v>
      </c>
      <c r="B89" s="56">
        <f>47920/2</f>
        <v>23960</v>
      </c>
      <c r="C89" s="53">
        <f>B89*$G$87</f>
        <v>10599.904</v>
      </c>
      <c r="D89" s="53">
        <f>B89+C89</f>
        <v>34559.904000000002</v>
      </c>
      <c r="E89" s="198" t="s">
        <v>25</v>
      </c>
      <c r="F89" s="198" t="s">
        <v>25</v>
      </c>
      <c r="G89" s="198" t="s">
        <v>25</v>
      </c>
    </row>
    <row r="90" spans="1:15" x14ac:dyDescent="0.25">
      <c r="A90" s="55" t="s">
        <v>3</v>
      </c>
      <c r="B90" s="56">
        <f>63840/2</f>
        <v>31920</v>
      </c>
      <c r="C90" s="53">
        <f t="shared" ref="C90:C96" si="54">B90*$G$87</f>
        <v>14121.408000000001</v>
      </c>
      <c r="D90" s="53">
        <f>B90+C90</f>
        <v>46041.408000000003</v>
      </c>
      <c r="E90" s="198" t="s">
        <v>25</v>
      </c>
      <c r="F90" s="198" t="s">
        <v>25</v>
      </c>
      <c r="G90" s="198" t="s">
        <v>25</v>
      </c>
    </row>
    <row r="91" spans="1:15" x14ac:dyDescent="0.25">
      <c r="A91" s="55" t="s">
        <v>4</v>
      </c>
      <c r="B91" s="56">
        <f>69810/2</f>
        <v>34905</v>
      </c>
      <c r="C91" s="53">
        <f t="shared" si="54"/>
        <v>15441.972</v>
      </c>
      <c r="D91" s="53">
        <f>B91+C91</f>
        <v>50346.972000000002</v>
      </c>
      <c r="E91" s="198" t="s">
        <v>25</v>
      </c>
      <c r="F91" s="198" t="s">
        <v>25</v>
      </c>
      <c r="G91" s="198" t="s">
        <v>25</v>
      </c>
    </row>
    <row r="92" spans="1:15" x14ac:dyDescent="0.25">
      <c r="A92" s="55" t="s">
        <v>5</v>
      </c>
      <c r="B92" s="56">
        <f>78230/2</f>
        <v>39115</v>
      </c>
      <c r="C92" s="53">
        <f t="shared" si="54"/>
        <v>17304.476000000002</v>
      </c>
      <c r="D92" s="53">
        <f t="shared" ref="D92:D96" si="55">B92+C92</f>
        <v>56419.476000000002</v>
      </c>
      <c r="E92" s="198" t="s">
        <v>25</v>
      </c>
      <c r="F92" s="198" t="s">
        <v>25</v>
      </c>
      <c r="G92" s="198" t="s">
        <v>25</v>
      </c>
    </row>
    <row r="93" spans="1:15" x14ac:dyDescent="0.25">
      <c r="A93" s="55" t="s">
        <v>6</v>
      </c>
      <c r="B93" s="56">
        <f>89890/2</f>
        <v>44945</v>
      </c>
      <c r="C93" s="53">
        <f t="shared" si="54"/>
        <v>19883.668000000001</v>
      </c>
      <c r="D93" s="53">
        <f t="shared" si="55"/>
        <v>64828.668000000005</v>
      </c>
      <c r="E93" s="198" t="s">
        <v>25</v>
      </c>
      <c r="F93" s="198" t="s">
        <v>25</v>
      </c>
      <c r="G93" s="198" t="s">
        <v>25</v>
      </c>
    </row>
    <row r="94" spans="1:15" x14ac:dyDescent="0.25">
      <c r="A94" s="55" t="s">
        <v>7</v>
      </c>
      <c r="B94" s="56">
        <f>100350/2</f>
        <v>50175</v>
      </c>
      <c r="C94" s="53">
        <f t="shared" si="54"/>
        <v>22197.420000000002</v>
      </c>
      <c r="D94" s="53">
        <f t="shared" si="55"/>
        <v>72372.42</v>
      </c>
      <c r="E94" s="198" t="s">
        <v>25</v>
      </c>
      <c r="F94" s="198" t="s">
        <v>25</v>
      </c>
      <c r="G94" s="198" t="s">
        <v>25</v>
      </c>
    </row>
    <row r="95" spans="1:15" x14ac:dyDescent="0.25">
      <c r="A95" s="55" t="s">
        <v>8</v>
      </c>
      <c r="B95" s="56">
        <f>116120/2</f>
        <v>58060</v>
      </c>
      <c r="C95" s="53">
        <f t="shared" si="54"/>
        <v>25685.744000000002</v>
      </c>
      <c r="D95" s="53">
        <f t="shared" si="55"/>
        <v>83745.744000000006</v>
      </c>
      <c r="E95" s="198" t="s">
        <v>25</v>
      </c>
      <c r="F95" s="198" t="s">
        <v>25</v>
      </c>
      <c r="G95" s="198" t="s">
        <v>25</v>
      </c>
    </row>
    <row r="96" spans="1:15" x14ac:dyDescent="0.25">
      <c r="A96" s="55" t="s">
        <v>9</v>
      </c>
      <c r="B96" s="56">
        <f>129000/2</f>
        <v>64500</v>
      </c>
      <c r="C96" s="53">
        <f t="shared" si="54"/>
        <v>28534.799999999999</v>
      </c>
      <c r="D96" s="53">
        <f t="shared" si="55"/>
        <v>93034.8</v>
      </c>
      <c r="E96" s="198" t="s">
        <v>25</v>
      </c>
      <c r="F96" s="198" t="s">
        <v>25</v>
      </c>
      <c r="G96" s="198" t="s">
        <v>25</v>
      </c>
    </row>
  </sheetData>
  <mergeCells count="17">
    <mergeCell ref="A61:B61"/>
    <mergeCell ref="A73:B73"/>
    <mergeCell ref="A74:B74"/>
    <mergeCell ref="A86:B86"/>
    <mergeCell ref="A87:B87"/>
    <mergeCell ref="A60:B60"/>
    <mergeCell ref="A1:G1"/>
    <mergeCell ref="A2:G3"/>
    <mergeCell ref="A6:B6"/>
    <mergeCell ref="J6:M6"/>
    <mergeCell ref="A7:B7"/>
    <mergeCell ref="A19:B19"/>
    <mergeCell ref="A20:B20"/>
    <mergeCell ref="A32:B32"/>
    <mergeCell ref="A33:B33"/>
    <mergeCell ref="A47:B47"/>
    <mergeCell ref="A48:B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CFA8-1D34-4EAA-ACA6-21C82E17DEBD}">
  <dimension ref="A1:Y42"/>
  <sheetViews>
    <sheetView topLeftCell="C19" workbookViewId="0">
      <selection activeCell="K30" sqref="K30"/>
    </sheetView>
  </sheetViews>
  <sheetFormatPr defaultRowHeight="15" x14ac:dyDescent="0.25"/>
  <cols>
    <col min="1" max="1" width="8.5703125" bestFit="1" customWidth="1"/>
    <col min="2" max="2" width="14.7109375" bestFit="1" customWidth="1"/>
    <col min="3" max="3" width="13.5703125" bestFit="1" customWidth="1"/>
    <col min="4" max="5" width="12" bestFit="1" customWidth="1"/>
    <col min="6" max="6" width="9.85546875" bestFit="1" customWidth="1"/>
    <col min="7" max="7" width="11.5703125" bestFit="1" customWidth="1"/>
    <col min="8" max="8" width="11.85546875" bestFit="1" customWidth="1"/>
    <col min="9" max="9" width="8.5703125" bestFit="1" customWidth="1"/>
    <col min="10" max="10" width="14.7109375" bestFit="1" customWidth="1"/>
    <col min="11" max="11" width="11.7109375" bestFit="1" customWidth="1"/>
    <col min="12" max="12" width="10.85546875" bestFit="1" customWidth="1"/>
    <col min="13" max="13" width="13.7109375" bestFit="1" customWidth="1"/>
    <col min="14" max="14" width="9.85546875" bestFit="1" customWidth="1"/>
    <col min="15" max="15" width="11.5703125" bestFit="1" customWidth="1"/>
    <col min="16" max="16" width="11.85546875" bestFit="1" customWidth="1"/>
    <col min="17" max="17" width="8.5703125" bestFit="1" customWidth="1"/>
    <col min="18" max="18" width="9" bestFit="1" customWidth="1"/>
    <col min="19" max="19" width="11.28515625" customWidth="1"/>
    <col min="20" max="20" width="9.85546875" bestFit="1" customWidth="1"/>
    <col min="21" max="21" width="12" bestFit="1" customWidth="1"/>
    <col min="22" max="22" width="9.85546875" bestFit="1" customWidth="1"/>
    <col min="23" max="23" width="11.5703125" bestFit="1" customWidth="1"/>
  </cols>
  <sheetData>
    <row r="1" spans="1:25" ht="19.5" thickBot="1" x14ac:dyDescent="0.3">
      <c r="A1" s="231" t="s">
        <v>58</v>
      </c>
      <c r="B1" s="232"/>
      <c r="C1" s="232"/>
      <c r="D1" s="232"/>
      <c r="E1" s="232"/>
      <c r="F1" s="232"/>
      <c r="G1" s="233"/>
    </row>
    <row r="2" spans="1:25" x14ac:dyDescent="0.25">
      <c r="A2" s="234" t="s">
        <v>59</v>
      </c>
      <c r="B2" s="235"/>
      <c r="C2" s="235"/>
      <c r="D2" s="235"/>
      <c r="E2" s="235"/>
      <c r="F2" s="235"/>
      <c r="G2" s="236"/>
    </row>
    <row r="3" spans="1:25" ht="15.75" thickBot="1" x14ac:dyDescent="0.3">
      <c r="A3" s="237"/>
      <c r="B3" s="238"/>
      <c r="C3" s="238"/>
      <c r="D3" s="238"/>
      <c r="E3" s="238"/>
      <c r="F3" s="238"/>
      <c r="G3" s="239"/>
    </row>
    <row r="4" spans="1:25" x14ac:dyDescent="0.25">
      <c r="A4" s="68"/>
      <c r="B4" s="68"/>
      <c r="C4" s="68"/>
      <c r="D4" s="68"/>
      <c r="E4" s="68"/>
      <c r="F4" s="68"/>
      <c r="G4" s="68"/>
    </row>
    <row r="5" spans="1:25" ht="15.75" x14ac:dyDescent="0.25">
      <c r="A5" s="191" t="s">
        <v>162</v>
      </c>
      <c r="B5" s="68"/>
      <c r="C5" s="68"/>
      <c r="D5" s="68"/>
      <c r="E5" s="68"/>
      <c r="F5" s="68"/>
      <c r="G5" s="68"/>
      <c r="I5" s="191" t="s">
        <v>163</v>
      </c>
      <c r="J5" s="52"/>
      <c r="K5" s="57"/>
      <c r="L5" s="58"/>
      <c r="M5" s="53"/>
      <c r="N5" s="53"/>
      <c r="O5" s="54"/>
      <c r="Q5" s="191" t="s">
        <v>164</v>
      </c>
      <c r="R5" s="52"/>
      <c r="S5" s="53"/>
      <c r="T5" s="53"/>
      <c r="U5" s="53"/>
      <c r="V5" s="53"/>
      <c r="W5" s="54"/>
    </row>
    <row r="6" spans="1:25" ht="45" x14ac:dyDescent="0.25">
      <c r="A6" s="230" t="s">
        <v>54</v>
      </c>
      <c r="B6" s="230"/>
      <c r="C6" s="65" t="s">
        <v>169</v>
      </c>
      <c r="D6" s="197" t="s">
        <v>170</v>
      </c>
      <c r="E6" s="195" t="s">
        <v>168</v>
      </c>
      <c r="F6" s="64" t="s">
        <v>53</v>
      </c>
      <c r="G6" s="65" t="s">
        <v>57</v>
      </c>
      <c r="I6" s="230" t="s">
        <v>54</v>
      </c>
      <c r="J6" s="230"/>
      <c r="K6" s="65" t="s">
        <v>169</v>
      </c>
      <c r="L6" s="197" t="s">
        <v>170</v>
      </c>
      <c r="M6" s="195" t="s">
        <v>168</v>
      </c>
      <c r="N6" s="63" t="s">
        <v>53</v>
      </c>
      <c r="O6" s="65" t="s">
        <v>57</v>
      </c>
      <c r="Q6" s="230" t="s">
        <v>54</v>
      </c>
      <c r="R6" s="230"/>
      <c r="S6" s="65" t="s">
        <v>169</v>
      </c>
      <c r="T6" s="197" t="s">
        <v>170</v>
      </c>
      <c r="U6" s="195" t="s">
        <v>168</v>
      </c>
      <c r="V6" s="63" t="s">
        <v>53</v>
      </c>
      <c r="W6" s="65" t="s">
        <v>57</v>
      </c>
    </row>
    <row r="7" spans="1:25" ht="30" customHeight="1" x14ac:dyDescent="0.25">
      <c r="A7" s="228" t="s">
        <v>56</v>
      </c>
      <c r="B7" s="228"/>
      <c r="C7" s="63">
        <v>8881</v>
      </c>
      <c r="D7" s="195">
        <v>600</v>
      </c>
      <c r="E7" s="167">
        <v>0.67</v>
      </c>
      <c r="F7" s="63">
        <v>2070</v>
      </c>
      <c r="G7" s="67">
        <v>13.869</v>
      </c>
      <c r="I7" s="228" t="s">
        <v>55</v>
      </c>
      <c r="J7" s="228"/>
      <c r="K7" s="63">
        <v>8881</v>
      </c>
      <c r="L7" s="195">
        <v>1148</v>
      </c>
      <c r="M7" s="167">
        <v>0.35</v>
      </c>
      <c r="N7" s="63">
        <v>1933</v>
      </c>
      <c r="O7" s="67">
        <v>6.7655000000000003</v>
      </c>
      <c r="Q7" s="228" t="s">
        <v>60</v>
      </c>
      <c r="R7" s="228"/>
      <c r="S7" s="63">
        <v>8881</v>
      </c>
      <c r="T7" s="195">
        <v>1684</v>
      </c>
      <c r="U7" s="167">
        <v>0.24</v>
      </c>
      <c r="V7" s="63">
        <v>1799</v>
      </c>
      <c r="W7" s="67">
        <v>4.3175999999999997</v>
      </c>
    </row>
    <row r="8" spans="1:25" ht="30" x14ac:dyDescent="0.25">
      <c r="A8" s="48" t="s">
        <v>14</v>
      </c>
      <c r="B8" s="49" t="s">
        <v>10</v>
      </c>
      <c r="C8" s="48" t="s">
        <v>11</v>
      </c>
      <c r="D8" s="48" t="s">
        <v>1</v>
      </c>
      <c r="E8" s="48" t="s">
        <v>12</v>
      </c>
      <c r="F8" s="48" t="s">
        <v>1</v>
      </c>
      <c r="G8" s="50" t="s">
        <v>0</v>
      </c>
      <c r="I8" s="48" t="s">
        <v>14</v>
      </c>
      <c r="J8" s="49" t="s">
        <v>10</v>
      </c>
      <c r="K8" s="48" t="s">
        <v>11</v>
      </c>
      <c r="L8" s="48" t="s">
        <v>1</v>
      </c>
      <c r="M8" s="48" t="s">
        <v>12</v>
      </c>
      <c r="N8" s="48" t="s">
        <v>1</v>
      </c>
      <c r="O8" s="50" t="s">
        <v>0</v>
      </c>
      <c r="Q8" s="60" t="s">
        <v>14</v>
      </c>
      <c r="R8" s="59" t="s">
        <v>10</v>
      </c>
      <c r="S8" s="60" t="s">
        <v>11</v>
      </c>
      <c r="T8" s="60" t="s">
        <v>1</v>
      </c>
      <c r="U8" s="60" t="s">
        <v>12</v>
      </c>
      <c r="V8" s="60" t="s">
        <v>1</v>
      </c>
      <c r="W8" s="60" t="s">
        <v>0</v>
      </c>
    </row>
    <row r="9" spans="1:25" x14ac:dyDescent="0.25">
      <c r="A9" s="51" t="s">
        <v>2</v>
      </c>
      <c r="B9" s="52">
        <v>1430</v>
      </c>
      <c r="C9" s="57">
        <v>19385.550000000003</v>
      </c>
      <c r="D9" s="58">
        <f>B9+C9</f>
        <v>20815.550000000003</v>
      </c>
      <c r="E9" s="53">
        <f t="shared" ref="E9:E16" si="0">B9*$G$7</f>
        <v>19832.669999999998</v>
      </c>
      <c r="F9" s="53">
        <f>B9+E9</f>
        <v>21262.67</v>
      </c>
      <c r="G9" s="54">
        <f>F9-D9</f>
        <v>447.11999999999534</v>
      </c>
      <c r="I9" s="55" t="s">
        <v>2</v>
      </c>
      <c r="J9" s="52">
        <v>2820</v>
      </c>
      <c r="K9" s="53">
        <v>18591.593999999997</v>
      </c>
      <c r="L9" s="53">
        <f t="shared" ref="L9:L16" si="1">J9+K9</f>
        <v>21411.593999999997</v>
      </c>
      <c r="M9" s="53">
        <f t="shared" ref="M9:M16" si="2">J9*$O$7</f>
        <v>19078.71</v>
      </c>
      <c r="N9" s="53">
        <f t="shared" ref="N9:N16" si="3">J9+M9</f>
        <v>21898.71</v>
      </c>
      <c r="O9" s="54">
        <f t="shared" ref="O9:O16" si="4">N9-L9</f>
        <v>487.1160000000018</v>
      </c>
      <c r="P9" s="202">
        <f>N9-F9</f>
        <v>636.04000000000087</v>
      </c>
      <c r="Q9" s="55" t="s">
        <v>2</v>
      </c>
      <c r="R9" s="56">
        <v>4490</v>
      </c>
      <c r="S9" s="53">
        <v>18709.599999999999</v>
      </c>
      <c r="T9" s="53">
        <f t="shared" ref="T9:T16" si="5">R9+S9</f>
        <v>23199.599999999999</v>
      </c>
      <c r="U9" s="53">
        <f t="shared" ref="U9:U16" si="6">R9*$W$7</f>
        <v>19386.023999999998</v>
      </c>
      <c r="V9" s="53">
        <f t="shared" ref="V9:V16" si="7">U9+R9</f>
        <v>23876.023999999998</v>
      </c>
      <c r="W9" s="54">
        <f t="shared" ref="W9:W16" si="8">V9-T9</f>
        <v>676.42399999999907</v>
      </c>
      <c r="X9" s="202">
        <f>V9-N9</f>
        <v>1977.3139999999985</v>
      </c>
      <c r="Y9">
        <f>X9/N9*100</f>
        <v>9.0293629168110741</v>
      </c>
    </row>
    <row r="10" spans="1:25" x14ac:dyDescent="0.25">
      <c r="A10" s="51" t="s">
        <v>3</v>
      </c>
      <c r="B10" s="52">
        <v>2010</v>
      </c>
      <c r="C10" s="57">
        <v>25943.310000000005</v>
      </c>
      <c r="D10" s="58">
        <f t="shared" ref="D10:D16" si="9">B10+C10</f>
        <v>27953.310000000005</v>
      </c>
      <c r="E10" s="53">
        <f t="shared" si="0"/>
        <v>27876.69</v>
      </c>
      <c r="F10" s="53">
        <f t="shared" ref="F10:F16" si="10">B10+E10</f>
        <v>29886.69</v>
      </c>
      <c r="G10" s="54">
        <f t="shared" ref="G10:G16" si="11">F10-D10</f>
        <v>1933.3799999999937</v>
      </c>
      <c r="I10" s="55" t="s">
        <v>3</v>
      </c>
      <c r="J10" s="52">
        <v>4025</v>
      </c>
      <c r="K10" s="53">
        <v>24940.532499999998</v>
      </c>
      <c r="L10" s="53">
        <f t="shared" si="1"/>
        <v>28965.532499999998</v>
      </c>
      <c r="M10" s="53">
        <f t="shared" si="2"/>
        <v>27231.137500000001</v>
      </c>
      <c r="N10" s="53">
        <f t="shared" si="3"/>
        <v>31256.137500000001</v>
      </c>
      <c r="O10" s="54">
        <f t="shared" si="4"/>
        <v>2290.6050000000032</v>
      </c>
      <c r="P10" s="202">
        <f t="shared" ref="P10:P16" si="12">N10-F10</f>
        <v>1369.447500000002</v>
      </c>
      <c r="Q10" s="55" t="s">
        <v>3</v>
      </c>
      <c r="R10" s="56">
        <v>6270</v>
      </c>
      <c r="S10" s="53">
        <v>23941.092000000001</v>
      </c>
      <c r="T10" s="53">
        <f t="shared" si="5"/>
        <v>30211.092000000001</v>
      </c>
      <c r="U10" s="53">
        <f t="shared" si="6"/>
        <v>27071.351999999999</v>
      </c>
      <c r="V10" s="53">
        <f t="shared" si="7"/>
        <v>33341.351999999999</v>
      </c>
      <c r="W10" s="54">
        <f t="shared" si="8"/>
        <v>3130.2599999999984</v>
      </c>
      <c r="X10" s="202">
        <f t="shared" ref="X10:X16" si="13">V10-N10</f>
        <v>2085.2144999999982</v>
      </c>
      <c r="Y10">
        <f t="shared" ref="Y10:Y16" si="14">X10/N10*100</f>
        <v>6.6713761417257587</v>
      </c>
    </row>
    <row r="11" spans="1:25" x14ac:dyDescent="0.25">
      <c r="A11" s="51" t="s">
        <v>4</v>
      </c>
      <c r="B11" s="52">
        <v>2195</v>
      </c>
      <c r="C11" s="57">
        <v>26991.765000000003</v>
      </c>
      <c r="D11" s="58">
        <f t="shared" si="9"/>
        <v>29186.765000000003</v>
      </c>
      <c r="E11" s="53">
        <f t="shared" si="0"/>
        <v>30442.454999999998</v>
      </c>
      <c r="F11" s="53">
        <f t="shared" si="10"/>
        <v>32637.454999999998</v>
      </c>
      <c r="G11" s="54">
        <f t="shared" si="11"/>
        <v>3450.6899999999951</v>
      </c>
      <c r="I11" s="55" t="s">
        <v>4</v>
      </c>
      <c r="J11" s="52">
        <v>4370</v>
      </c>
      <c r="K11" s="53">
        <v>25656.708999999999</v>
      </c>
      <c r="L11" s="53">
        <f t="shared" si="1"/>
        <v>30026.708999999999</v>
      </c>
      <c r="M11" s="53">
        <f t="shared" si="2"/>
        <v>29565.235000000001</v>
      </c>
      <c r="N11" s="53">
        <f t="shared" si="3"/>
        <v>33935.235000000001</v>
      </c>
      <c r="O11" s="54">
        <f t="shared" si="4"/>
        <v>3908.5260000000017</v>
      </c>
      <c r="P11" s="202">
        <f t="shared" si="12"/>
        <v>1297.7800000000025</v>
      </c>
      <c r="Q11" s="55" t="s">
        <v>4</v>
      </c>
      <c r="R11" s="56">
        <v>6780</v>
      </c>
      <c r="S11" s="53">
        <v>24491.59</v>
      </c>
      <c r="T11" s="53">
        <f t="shared" si="5"/>
        <v>31271.59</v>
      </c>
      <c r="U11" s="53">
        <f t="shared" si="6"/>
        <v>29273.327999999998</v>
      </c>
      <c r="V11" s="53">
        <f t="shared" si="7"/>
        <v>36053.327999999994</v>
      </c>
      <c r="W11" s="54">
        <f t="shared" si="8"/>
        <v>4781.7379999999939</v>
      </c>
      <c r="X11" s="202">
        <f t="shared" si="13"/>
        <v>2118.0929999999935</v>
      </c>
      <c r="Y11">
        <f t="shared" si="14"/>
        <v>6.2415745758059238</v>
      </c>
    </row>
    <row r="12" spans="1:25" x14ac:dyDescent="0.25">
      <c r="A12" s="51" t="s">
        <v>5</v>
      </c>
      <c r="B12" s="52">
        <v>2455</v>
      </c>
      <c r="C12" s="57">
        <v>27906.705000000002</v>
      </c>
      <c r="D12" s="58">
        <f t="shared" si="9"/>
        <v>30361.705000000002</v>
      </c>
      <c r="E12" s="53">
        <f t="shared" si="0"/>
        <v>34048.394999999997</v>
      </c>
      <c r="F12" s="53">
        <f t="shared" si="10"/>
        <v>36503.394999999997</v>
      </c>
      <c r="G12" s="54">
        <f t="shared" si="11"/>
        <v>6141.6899999999951</v>
      </c>
      <c r="I12" s="55" t="s">
        <v>5</v>
      </c>
      <c r="J12" s="52">
        <v>4850</v>
      </c>
      <c r="K12" s="53">
        <v>26491.764999999999</v>
      </c>
      <c r="L12" s="53">
        <f t="shared" si="1"/>
        <v>31341.764999999999</v>
      </c>
      <c r="M12" s="53">
        <f t="shared" si="2"/>
        <v>32812.675000000003</v>
      </c>
      <c r="N12" s="53">
        <f t="shared" si="3"/>
        <v>37662.675000000003</v>
      </c>
      <c r="O12" s="54">
        <f t="shared" si="4"/>
        <v>6320.9100000000035</v>
      </c>
      <c r="P12" s="202">
        <f t="shared" si="12"/>
        <v>1159.2800000000061</v>
      </c>
      <c r="Q12" s="55" t="s">
        <v>5</v>
      </c>
      <c r="R12" s="56">
        <v>7500</v>
      </c>
      <c r="S12" s="53">
        <v>25268.754000000001</v>
      </c>
      <c r="T12" s="53">
        <f t="shared" si="5"/>
        <v>32768.754000000001</v>
      </c>
      <c r="U12" s="53">
        <f t="shared" si="6"/>
        <v>32381.999999999996</v>
      </c>
      <c r="V12" s="53">
        <f t="shared" si="7"/>
        <v>39882</v>
      </c>
      <c r="W12" s="54">
        <f t="shared" si="8"/>
        <v>7113.2459999999992</v>
      </c>
      <c r="X12" s="202">
        <f t="shared" si="13"/>
        <v>2219.3249999999971</v>
      </c>
      <c r="Y12">
        <f t="shared" si="14"/>
        <v>5.8926377374947396</v>
      </c>
    </row>
    <row r="13" spans="1:25" x14ac:dyDescent="0.25">
      <c r="A13" s="51" t="s">
        <v>6</v>
      </c>
      <c r="B13" s="52">
        <v>2675</v>
      </c>
      <c r="C13" s="57">
        <v>28680.885000000002</v>
      </c>
      <c r="D13" s="58">
        <f t="shared" si="9"/>
        <v>31355.885000000002</v>
      </c>
      <c r="E13" s="53">
        <f t="shared" si="0"/>
        <v>37099.574999999997</v>
      </c>
      <c r="F13" s="53">
        <f t="shared" si="10"/>
        <v>39774.574999999997</v>
      </c>
      <c r="G13" s="54">
        <f t="shared" si="11"/>
        <v>8418.6899999999951</v>
      </c>
      <c r="I13" s="55" t="s">
        <v>6</v>
      </c>
      <c r="J13" s="52">
        <v>5225</v>
      </c>
      <c r="K13" s="53">
        <v>27144.152499999997</v>
      </c>
      <c r="L13" s="53">
        <f t="shared" si="1"/>
        <v>32369.152499999997</v>
      </c>
      <c r="M13" s="53">
        <f t="shared" si="2"/>
        <v>35349.737500000003</v>
      </c>
      <c r="N13" s="53">
        <f t="shared" si="3"/>
        <v>40574.737500000003</v>
      </c>
      <c r="O13" s="54">
        <f t="shared" si="4"/>
        <v>8205.5850000000064</v>
      </c>
      <c r="P13" s="202">
        <f t="shared" si="12"/>
        <v>800.16250000000582</v>
      </c>
      <c r="Q13" s="55" t="s">
        <v>6</v>
      </c>
      <c r="R13" s="56">
        <v>8070</v>
      </c>
      <c r="S13" s="53">
        <v>25884.011999999999</v>
      </c>
      <c r="T13" s="53">
        <f t="shared" si="5"/>
        <v>33954.012000000002</v>
      </c>
      <c r="U13" s="53">
        <f t="shared" si="6"/>
        <v>34843.031999999999</v>
      </c>
      <c r="V13" s="53">
        <f t="shared" si="7"/>
        <v>42913.031999999999</v>
      </c>
      <c r="W13" s="54">
        <f t="shared" si="8"/>
        <v>8959.0199999999968</v>
      </c>
      <c r="X13" s="202">
        <f t="shared" si="13"/>
        <v>2338.2944999999963</v>
      </c>
      <c r="Y13">
        <f t="shared" si="14"/>
        <v>5.7629319228497682</v>
      </c>
    </row>
    <row r="14" spans="1:25" x14ac:dyDescent="0.25">
      <c r="A14" s="51" t="s">
        <v>7</v>
      </c>
      <c r="B14" s="52">
        <v>2975</v>
      </c>
      <c r="C14" s="57">
        <v>29736.585000000003</v>
      </c>
      <c r="D14" s="58">
        <f t="shared" si="9"/>
        <v>32711.585000000003</v>
      </c>
      <c r="E14" s="53">
        <f t="shared" si="0"/>
        <v>41260.275000000001</v>
      </c>
      <c r="F14" s="53">
        <f t="shared" si="10"/>
        <v>44235.275000000001</v>
      </c>
      <c r="G14" s="54">
        <f t="shared" si="11"/>
        <v>11523.689999999999</v>
      </c>
      <c r="I14" s="55" t="s">
        <v>7</v>
      </c>
      <c r="J14" s="52">
        <v>5725</v>
      </c>
      <c r="K14" s="53">
        <v>28014.002499999999</v>
      </c>
      <c r="L14" s="53">
        <f t="shared" si="1"/>
        <v>33739.002500000002</v>
      </c>
      <c r="M14" s="53">
        <f t="shared" si="2"/>
        <v>38732.487500000003</v>
      </c>
      <c r="N14" s="53">
        <f t="shared" si="3"/>
        <v>44457.487500000003</v>
      </c>
      <c r="O14" s="54">
        <f t="shared" si="4"/>
        <v>10718.485000000001</v>
      </c>
      <c r="P14" s="202">
        <f t="shared" si="12"/>
        <v>222.21250000000146</v>
      </c>
      <c r="Q14" s="55" t="s">
        <v>7</v>
      </c>
      <c r="R14" s="56">
        <v>8830</v>
      </c>
      <c r="S14" s="53">
        <v>26704.356</v>
      </c>
      <c r="T14" s="53">
        <f t="shared" si="5"/>
        <v>35534.356</v>
      </c>
      <c r="U14" s="53">
        <f t="shared" si="6"/>
        <v>38124.407999999996</v>
      </c>
      <c r="V14" s="53">
        <f t="shared" si="7"/>
        <v>46954.407999999996</v>
      </c>
      <c r="W14" s="54">
        <f t="shared" si="8"/>
        <v>11420.051999999996</v>
      </c>
      <c r="X14" s="202">
        <f t="shared" si="13"/>
        <v>2496.9204999999929</v>
      </c>
      <c r="Y14">
        <f t="shared" si="14"/>
        <v>5.6164228803978018</v>
      </c>
    </row>
    <row r="15" spans="1:25" x14ac:dyDescent="0.25">
      <c r="A15" s="51" t="s">
        <v>8</v>
      </c>
      <c r="B15" s="52">
        <v>3275</v>
      </c>
      <c r="C15" s="57">
        <v>30792.285000000003</v>
      </c>
      <c r="D15" s="58">
        <f t="shared" si="9"/>
        <v>34067.285000000003</v>
      </c>
      <c r="E15" s="53">
        <f t="shared" si="0"/>
        <v>45420.974999999999</v>
      </c>
      <c r="F15" s="53">
        <f t="shared" si="10"/>
        <v>48695.974999999999</v>
      </c>
      <c r="G15" s="54">
        <f t="shared" si="11"/>
        <v>14628.689999999995</v>
      </c>
      <c r="I15" s="55" t="s">
        <v>8</v>
      </c>
      <c r="J15" s="52">
        <v>6325</v>
      </c>
      <c r="K15" s="53">
        <v>29057.822499999998</v>
      </c>
      <c r="L15" s="53">
        <f t="shared" si="1"/>
        <v>35382.822499999995</v>
      </c>
      <c r="M15" s="53">
        <f t="shared" si="2"/>
        <v>42791.787499999999</v>
      </c>
      <c r="N15" s="53">
        <f t="shared" si="3"/>
        <v>49116.787499999999</v>
      </c>
      <c r="O15" s="54">
        <f t="shared" si="4"/>
        <v>13733.965000000004</v>
      </c>
      <c r="P15" s="202">
        <f t="shared" si="12"/>
        <v>420.8125</v>
      </c>
      <c r="Q15" s="55" t="s">
        <v>8</v>
      </c>
      <c r="R15" s="56">
        <v>9670</v>
      </c>
      <c r="S15" s="53">
        <v>27611.052</v>
      </c>
      <c r="T15" s="53">
        <f t="shared" si="5"/>
        <v>37281.051999999996</v>
      </c>
      <c r="U15" s="53">
        <f t="shared" si="6"/>
        <v>41751.191999999995</v>
      </c>
      <c r="V15" s="53">
        <f t="shared" si="7"/>
        <v>51421.191999999995</v>
      </c>
      <c r="W15" s="54">
        <f t="shared" si="8"/>
        <v>14140.14</v>
      </c>
      <c r="X15" s="202">
        <f t="shared" si="13"/>
        <v>2304.4044999999969</v>
      </c>
      <c r="Y15">
        <f t="shared" si="14"/>
        <v>4.6916840805193072</v>
      </c>
    </row>
    <row r="16" spans="1:25" x14ac:dyDescent="0.25">
      <c r="A16" s="51" t="s">
        <v>9</v>
      </c>
      <c r="B16" s="52">
        <v>3500</v>
      </c>
      <c r="C16" s="57">
        <v>31584.06</v>
      </c>
      <c r="D16" s="58">
        <f t="shared" si="9"/>
        <v>35084.06</v>
      </c>
      <c r="E16" s="53">
        <f t="shared" si="0"/>
        <v>48541.5</v>
      </c>
      <c r="F16" s="53">
        <f t="shared" si="10"/>
        <v>52041.5</v>
      </c>
      <c r="G16" s="54">
        <f t="shared" si="11"/>
        <v>16957.440000000002</v>
      </c>
      <c r="I16" s="55" t="s">
        <v>9</v>
      </c>
      <c r="J16" s="52">
        <v>7000</v>
      </c>
      <c r="K16" s="53">
        <v>30232.12</v>
      </c>
      <c r="L16" s="53">
        <f t="shared" si="1"/>
        <v>37232.119999999995</v>
      </c>
      <c r="M16" s="53">
        <f t="shared" si="2"/>
        <v>47358.5</v>
      </c>
      <c r="N16" s="53">
        <f t="shared" si="3"/>
        <v>54358.5</v>
      </c>
      <c r="O16" s="54">
        <f t="shared" si="4"/>
        <v>17126.380000000005</v>
      </c>
      <c r="P16" s="202">
        <f t="shared" si="12"/>
        <v>2317</v>
      </c>
      <c r="Q16" s="55" t="s">
        <v>9</v>
      </c>
      <c r="R16" s="56">
        <v>10650</v>
      </c>
      <c r="S16" s="53">
        <v>28668.864000000001</v>
      </c>
      <c r="T16" s="53">
        <f t="shared" si="5"/>
        <v>39318.864000000001</v>
      </c>
      <c r="U16" s="53">
        <f t="shared" si="6"/>
        <v>45982.439999999995</v>
      </c>
      <c r="V16" s="53">
        <f t="shared" si="7"/>
        <v>56632.439999999995</v>
      </c>
      <c r="W16" s="54">
        <f t="shared" si="8"/>
        <v>17313.575999999994</v>
      </c>
      <c r="X16" s="202">
        <f t="shared" si="13"/>
        <v>2273.9399999999951</v>
      </c>
      <c r="Y16">
        <f t="shared" si="14"/>
        <v>4.183228014018038</v>
      </c>
    </row>
    <row r="17" spans="1:20" x14ac:dyDescent="0.25">
      <c r="P17" s="202" t="s">
        <v>13</v>
      </c>
    </row>
    <row r="19" spans="1:20" ht="15.75" x14ac:dyDescent="0.25">
      <c r="A19" s="191" t="s">
        <v>161</v>
      </c>
      <c r="F19" s="191" t="s">
        <v>165</v>
      </c>
      <c r="J19" s="191" t="s">
        <v>166</v>
      </c>
      <c r="M19" s="191" t="s">
        <v>167</v>
      </c>
    </row>
    <row r="20" spans="1:20" ht="30" x14ac:dyDescent="0.25">
      <c r="A20" s="230" t="s">
        <v>54</v>
      </c>
      <c r="B20" s="230"/>
      <c r="C20" s="65" t="s">
        <v>169</v>
      </c>
      <c r="D20" s="197" t="s">
        <v>170</v>
      </c>
      <c r="E20" s="230" t="s">
        <v>54</v>
      </c>
      <c r="F20" s="230"/>
      <c r="G20" s="65" t="s">
        <v>169</v>
      </c>
      <c r="H20" s="197" t="s">
        <v>170</v>
      </c>
      <c r="I20" s="230" t="s">
        <v>54</v>
      </c>
      <c r="J20" s="230"/>
      <c r="K20" s="65" t="s">
        <v>169</v>
      </c>
      <c r="L20" s="197" t="s">
        <v>170</v>
      </c>
      <c r="M20" s="230" t="s">
        <v>54</v>
      </c>
      <c r="N20" s="230"/>
      <c r="O20" s="65" t="s">
        <v>169</v>
      </c>
      <c r="P20" s="197" t="s">
        <v>170</v>
      </c>
    </row>
    <row r="21" spans="1:20" ht="27.75" customHeight="1" x14ac:dyDescent="0.25">
      <c r="A21" s="228" t="s">
        <v>160</v>
      </c>
      <c r="B21" s="228"/>
      <c r="C21" s="63">
        <v>8881</v>
      </c>
      <c r="D21" s="195">
        <v>2288</v>
      </c>
      <c r="E21" s="228" t="s">
        <v>171</v>
      </c>
      <c r="F21" s="228"/>
      <c r="G21" s="63">
        <v>8881</v>
      </c>
      <c r="H21" s="195">
        <v>2836</v>
      </c>
      <c r="I21" s="228" t="s">
        <v>173</v>
      </c>
      <c r="J21" s="228"/>
      <c r="K21" s="63">
        <v>8881</v>
      </c>
      <c r="L21" s="195">
        <v>4440</v>
      </c>
      <c r="M21" s="228" t="s">
        <v>174</v>
      </c>
      <c r="N21" s="228"/>
      <c r="O21" s="63">
        <v>8881</v>
      </c>
      <c r="P21" s="195">
        <v>6352</v>
      </c>
    </row>
    <row r="22" spans="1:20" ht="30" x14ac:dyDescent="0.25">
      <c r="A22" s="60" t="s">
        <v>14</v>
      </c>
      <c r="B22" s="59" t="s">
        <v>10</v>
      </c>
      <c r="C22" s="60" t="s">
        <v>11</v>
      </c>
      <c r="D22" s="60" t="s">
        <v>1</v>
      </c>
      <c r="E22" s="60" t="s">
        <v>14</v>
      </c>
      <c r="F22" s="59" t="s">
        <v>10</v>
      </c>
      <c r="G22" s="60" t="s">
        <v>11</v>
      </c>
      <c r="H22" s="60" t="s">
        <v>1</v>
      </c>
      <c r="I22" s="60" t="s">
        <v>14</v>
      </c>
      <c r="J22" s="59" t="s">
        <v>10</v>
      </c>
      <c r="K22" s="60" t="s">
        <v>11</v>
      </c>
      <c r="L22" s="60" t="s">
        <v>1</v>
      </c>
      <c r="M22" s="60" t="s">
        <v>14</v>
      </c>
      <c r="N22" s="59" t="s">
        <v>10</v>
      </c>
      <c r="O22" s="60" t="s">
        <v>11</v>
      </c>
      <c r="P22" s="60" t="s">
        <v>1</v>
      </c>
    </row>
    <row r="23" spans="1:20" x14ac:dyDescent="0.25">
      <c r="A23" s="55" t="s">
        <v>2</v>
      </c>
      <c r="B23" s="200">
        <v>6605</v>
      </c>
      <c r="C23" s="52">
        <v>19593.072</v>
      </c>
      <c r="D23" s="52">
        <v>26198.072</v>
      </c>
      <c r="E23" s="201" t="s">
        <v>2</v>
      </c>
      <c r="F23" s="200">
        <v>10620</v>
      </c>
      <c r="G23" s="52">
        <v>24070.230000000003</v>
      </c>
      <c r="H23" s="52">
        <v>34690.230000000003</v>
      </c>
      <c r="I23" s="201" t="s">
        <v>2</v>
      </c>
      <c r="J23" s="200">
        <v>15770</v>
      </c>
      <c r="K23" s="52">
        <v>17504.7</v>
      </c>
      <c r="L23" s="52">
        <v>33274.699999999997</v>
      </c>
      <c r="M23" s="201" t="s">
        <v>2</v>
      </c>
      <c r="N23" s="200">
        <v>23960</v>
      </c>
      <c r="O23" s="52">
        <v>10599.904</v>
      </c>
      <c r="P23" s="52">
        <v>34559.904000000002</v>
      </c>
    </row>
    <row r="24" spans="1:20" x14ac:dyDescent="0.25">
      <c r="A24" s="55" t="s">
        <v>3</v>
      </c>
      <c r="B24" s="200">
        <v>9120</v>
      </c>
      <c r="C24" s="52">
        <v>27053.568000000003</v>
      </c>
      <c r="D24" s="52">
        <v>36173.567999999999</v>
      </c>
      <c r="E24" s="201" t="s">
        <v>3</v>
      </c>
      <c r="F24" s="200">
        <v>12850</v>
      </c>
      <c r="G24" s="52">
        <v>29124.525000000001</v>
      </c>
      <c r="H24" s="205">
        <v>41974.525000000001</v>
      </c>
      <c r="I24" s="201" t="s">
        <v>3</v>
      </c>
      <c r="J24" s="200">
        <v>21010</v>
      </c>
      <c r="K24" s="52">
        <v>23321.100000000002</v>
      </c>
      <c r="L24" s="205">
        <v>44331.100000000006</v>
      </c>
      <c r="M24" s="201" t="s">
        <v>3</v>
      </c>
      <c r="N24" s="200">
        <v>31920</v>
      </c>
      <c r="O24" s="52">
        <v>14121.408000000001</v>
      </c>
      <c r="P24" s="205">
        <v>46041.408000000003</v>
      </c>
    </row>
    <row r="25" spans="1:20" x14ac:dyDescent="0.25">
      <c r="A25" s="55" t="s">
        <v>4</v>
      </c>
      <c r="B25" s="200">
        <v>9960</v>
      </c>
      <c r="C25" s="52">
        <v>29545.344000000001</v>
      </c>
      <c r="D25" s="52">
        <v>39505.343999999997</v>
      </c>
      <c r="E25" s="201" t="s">
        <v>4</v>
      </c>
      <c r="F25" s="200">
        <v>14050</v>
      </c>
      <c r="G25" s="52">
        <v>31844.325000000004</v>
      </c>
      <c r="H25" s="52">
        <v>45894.325000000004</v>
      </c>
      <c r="I25" s="201" t="s">
        <v>4</v>
      </c>
      <c r="J25" s="200">
        <v>22975</v>
      </c>
      <c r="K25" s="52">
        <v>25502.250000000004</v>
      </c>
      <c r="L25" s="52">
        <v>48477.25</v>
      </c>
      <c r="M25" s="201" t="s">
        <v>4</v>
      </c>
      <c r="N25" s="200">
        <v>34905</v>
      </c>
      <c r="O25" s="52">
        <v>15441.972</v>
      </c>
      <c r="P25" s="52">
        <v>50346.972000000002</v>
      </c>
    </row>
    <row r="26" spans="1:20" x14ac:dyDescent="0.25">
      <c r="A26" s="55" t="s">
        <v>5</v>
      </c>
      <c r="B26" s="200">
        <v>11140</v>
      </c>
      <c r="C26" s="52">
        <v>33045.696000000004</v>
      </c>
      <c r="D26" s="52">
        <v>44185.696000000004</v>
      </c>
      <c r="E26" s="201" t="s">
        <v>5</v>
      </c>
      <c r="F26" s="200">
        <v>15750</v>
      </c>
      <c r="G26" s="52">
        <v>35697.375</v>
      </c>
      <c r="H26" s="52">
        <v>51447.375</v>
      </c>
      <c r="I26" s="201" t="s">
        <v>5</v>
      </c>
      <c r="J26" s="200">
        <v>25745</v>
      </c>
      <c r="K26" s="52">
        <v>28576.95</v>
      </c>
      <c r="L26" s="52">
        <v>54321.95</v>
      </c>
      <c r="M26" s="201" t="s">
        <v>5</v>
      </c>
      <c r="N26" s="200">
        <v>39115</v>
      </c>
      <c r="O26" s="52">
        <v>17304.476000000002</v>
      </c>
      <c r="P26" s="52">
        <v>56419.476000000002</v>
      </c>
    </row>
    <row r="27" spans="1:20" x14ac:dyDescent="0.25">
      <c r="A27" s="55" t="s">
        <v>6</v>
      </c>
      <c r="B27" s="200">
        <v>12070</v>
      </c>
      <c r="C27" s="52">
        <v>35804.448000000004</v>
      </c>
      <c r="D27" s="52">
        <v>47874.448000000004</v>
      </c>
      <c r="E27" s="201" t="s">
        <v>6</v>
      </c>
      <c r="F27" s="200">
        <v>18100</v>
      </c>
      <c r="G27" s="52">
        <v>41023.65</v>
      </c>
      <c r="H27" s="52">
        <v>59123.65</v>
      </c>
      <c r="I27" s="201" t="s">
        <v>6</v>
      </c>
      <c r="J27" s="200">
        <v>29585</v>
      </c>
      <c r="K27" s="52">
        <v>32839.350000000006</v>
      </c>
      <c r="L27" s="52">
        <v>62424.350000000006</v>
      </c>
      <c r="M27" s="201" t="s">
        <v>6</v>
      </c>
      <c r="N27" s="200">
        <v>44945</v>
      </c>
      <c r="O27" s="52">
        <v>19883.668000000001</v>
      </c>
      <c r="P27" s="52">
        <v>64828.668000000005</v>
      </c>
    </row>
    <row r="28" spans="1:20" x14ac:dyDescent="0.25">
      <c r="A28" s="55" t="s">
        <v>7</v>
      </c>
      <c r="B28" s="200">
        <v>13310</v>
      </c>
      <c r="C28" s="52">
        <v>39482.784</v>
      </c>
      <c r="D28" s="52">
        <v>52792.784</v>
      </c>
      <c r="E28" s="201" t="s">
        <v>7</v>
      </c>
      <c r="F28" s="200">
        <v>20200</v>
      </c>
      <c r="G28" s="52">
        <v>45783.3</v>
      </c>
      <c r="H28" s="52">
        <v>65983.3</v>
      </c>
      <c r="I28" s="201" t="s">
        <v>7</v>
      </c>
      <c r="J28" s="200">
        <v>33035</v>
      </c>
      <c r="K28" s="52">
        <v>36668.850000000006</v>
      </c>
      <c r="L28" s="52">
        <v>69703.850000000006</v>
      </c>
      <c r="M28" s="201" t="s">
        <v>7</v>
      </c>
      <c r="N28" s="200">
        <v>50175</v>
      </c>
      <c r="O28" s="52">
        <v>22197.420000000002</v>
      </c>
      <c r="P28" s="52">
        <v>72372.42</v>
      </c>
    </row>
    <row r="29" spans="1:20" x14ac:dyDescent="0.25">
      <c r="A29" s="55" t="s">
        <v>8</v>
      </c>
      <c r="B29" s="200">
        <v>14670</v>
      </c>
      <c r="C29" s="52">
        <v>43517.088000000003</v>
      </c>
      <c r="D29" s="52">
        <v>58187.088000000003</v>
      </c>
      <c r="E29" s="201" t="s">
        <v>8</v>
      </c>
      <c r="F29" s="200">
        <v>23400</v>
      </c>
      <c r="G29" s="52">
        <v>53036.100000000006</v>
      </c>
      <c r="H29" s="52">
        <v>76436.100000000006</v>
      </c>
      <c r="I29" s="201" t="s">
        <v>8</v>
      </c>
      <c r="J29" s="200">
        <v>38260</v>
      </c>
      <c r="K29" s="52">
        <v>42468.600000000006</v>
      </c>
      <c r="L29" s="52">
        <v>80728.600000000006</v>
      </c>
      <c r="M29" s="201" t="s">
        <v>8</v>
      </c>
      <c r="N29" s="200">
        <v>58060</v>
      </c>
      <c r="O29" s="52">
        <v>25685.744000000002</v>
      </c>
      <c r="P29" s="52">
        <v>83745.744000000006</v>
      </c>
    </row>
    <row r="30" spans="1:20" x14ac:dyDescent="0.25">
      <c r="A30" s="55" t="s">
        <v>9</v>
      </c>
      <c r="B30" s="200">
        <v>16300</v>
      </c>
      <c r="C30" s="52">
        <v>48352.32</v>
      </c>
      <c r="D30" s="52">
        <v>64652.32</v>
      </c>
      <c r="E30" s="201" t="s">
        <v>9</v>
      </c>
      <c r="F30" s="200">
        <v>26000</v>
      </c>
      <c r="G30" s="52">
        <v>58929.000000000007</v>
      </c>
      <c r="H30" s="52">
        <v>84929</v>
      </c>
      <c r="I30" s="201" t="s">
        <v>9</v>
      </c>
      <c r="J30" s="200">
        <v>42500</v>
      </c>
      <c r="K30" s="52">
        <v>47175.000000000007</v>
      </c>
      <c r="L30" s="52">
        <v>89675</v>
      </c>
      <c r="M30" s="201" t="s">
        <v>9</v>
      </c>
      <c r="N30" s="200">
        <v>64500</v>
      </c>
      <c r="O30" s="52">
        <v>28534.799999999999</v>
      </c>
      <c r="P30" s="52">
        <v>93034.8</v>
      </c>
    </row>
    <row r="31" spans="1:20" x14ac:dyDescent="0.25">
      <c r="I31" s="206" t="s">
        <v>179</v>
      </c>
      <c r="M31" s="206" t="s">
        <v>178</v>
      </c>
      <c r="Q31" t="s">
        <v>177</v>
      </c>
      <c r="T31" s="204" t="s">
        <v>176</v>
      </c>
    </row>
    <row r="32" spans="1:20" x14ac:dyDescent="0.25">
      <c r="A32" s="55" t="s">
        <v>3</v>
      </c>
      <c r="D32" s="171">
        <f>D24-V10</f>
        <v>2832.2160000000003</v>
      </c>
      <c r="E32" s="202">
        <f>D32/V9*100</f>
        <v>11.862176047402199</v>
      </c>
      <c r="H32" s="171">
        <f>H24-D24</f>
        <v>5800.9570000000022</v>
      </c>
      <c r="I32" s="202">
        <f>H32/D24*100</f>
        <v>16.036452362122539</v>
      </c>
      <c r="L32" s="171">
        <f>L24-H24</f>
        <v>2356.5750000000044</v>
      </c>
      <c r="M32" s="203">
        <f>L32/H24*100</f>
        <v>5.6142981963464846</v>
      </c>
      <c r="P32" s="171">
        <f>P24-L24</f>
        <v>1710.3079999999973</v>
      </c>
      <c r="Q32" s="203">
        <f>P32/L24*100</f>
        <v>3.8580319459702035</v>
      </c>
      <c r="R32" s="202">
        <f>Q32+M32</f>
        <v>9.4723301423166877</v>
      </c>
      <c r="S32" s="171">
        <f>P24-H24</f>
        <v>4066.8830000000016</v>
      </c>
      <c r="T32" s="202">
        <f>S32/H24*100</f>
        <v>9.6889315602737653</v>
      </c>
    </row>
    <row r="33" spans="1:20" x14ac:dyDescent="0.25">
      <c r="A33" s="55" t="s">
        <v>4</v>
      </c>
      <c r="D33" s="171">
        <f t="shared" ref="D33:D38" si="15">D25-V11</f>
        <v>3452.0160000000033</v>
      </c>
      <c r="E33" s="202">
        <f t="shared" ref="E33:E38" si="16">D33/V10*100</f>
        <v>10.353557348244316</v>
      </c>
      <c r="H33" s="171">
        <f t="shared" ref="H33:H38" si="17">H25-D25</f>
        <v>6388.981000000007</v>
      </c>
      <c r="I33" s="202">
        <f t="shared" ref="I33:I38" si="18">H33/D25*100</f>
        <v>16.172447454197609</v>
      </c>
      <c r="L33" s="171">
        <f t="shared" ref="L33:L38" si="19">L25-H25</f>
        <v>2582.9249999999956</v>
      </c>
      <c r="M33" s="203">
        <f t="shared" ref="M33:M38" si="20">L33/H25*100</f>
        <v>5.627983416250256</v>
      </c>
      <c r="P33" s="171">
        <f t="shared" ref="P33:P39" si="21">P25-L25</f>
        <v>1869.7220000000016</v>
      </c>
      <c r="Q33" s="203">
        <f t="shared" ref="Q33:Q38" si="22">P33/L25*100</f>
        <v>3.8569060744988661</v>
      </c>
      <c r="R33" s="202">
        <f t="shared" ref="R33:R38" si="23">Q33+M33</f>
        <v>9.4848894907491221</v>
      </c>
      <c r="S33" s="171">
        <f t="shared" ref="S33:S38" si="24">P25-H25</f>
        <v>4452.6469999999972</v>
      </c>
      <c r="T33" s="202">
        <f t="shared" ref="T33:T38" si="25">S33/H25*100</f>
        <v>9.7019555250022673</v>
      </c>
    </row>
    <row r="34" spans="1:20" x14ac:dyDescent="0.25">
      <c r="A34" s="55" t="s">
        <v>5</v>
      </c>
      <c r="D34" s="171">
        <f t="shared" si="15"/>
        <v>4303.6960000000036</v>
      </c>
      <c r="E34" s="202">
        <f t="shared" si="16"/>
        <v>11.937028393051548</v>
      </c>
      <c r="H34" s="171">
        <f t="shared" si="17"/>
        <v>7261.6789999999964</v>
      </c>
      <c r="I34" s="202">
        <f t="shared" si="18"/>
        <v>16.434456526383549</v>
      </c>
      <c r="L34" s="171">
        <f t="shared" si="19"/>
        <v>2874.5749999999971</v>
      </c>
      <c r="M34" s="203">
        <f t="shared" si="20"/>
        <v>5.5874084926587546</v>
      </c>
      <c r="P34" s="171">
        <f t="shared" si="21"/>
        <v>2097.5260000000053</v>
      </c>
      <c r="Q34" s="203">
        <f t="shared" si="22"/>
        <v>3.8612862756215587</v>
      </c>
      <c r="R34" s="202">
        <f t="shared" si="23"/>
        <v>9.4486947682803137</v>
      </c>
      <c r="S34" s="171">
        <f t="shared" si="24"/>
        <v>4972.1010000000024</v>
      </c>
      <c r="T34" s="202">
        <f t="shared" si="25"/>
        <v>9.6644406055702596</v>
      </c>
    </row>
    <row r="35" spans="1:20" x14ac:dyDescent="0.25">
      <c r="A35" s="55" t="s">
        <v>6</v>
      </c>
      <c r="D35" s="171">
        <f t="shared" si="15"/>
        <v>4961.4160000000047</v>
      </c>
      <c r="E35" s="202">
        <f t="shared" si="16"/>
        <v>12.440238704177336</v>
      </c>
      <c r="H35" s="171">
        <f t="shared" si="17"/>
        <v>11249.201999999997</v>
      </c>
      <c r="I35" s="202">
        <f t="shared" si="18"/>
        <v>23.497298600706571</v>
      </c>
      <c r="L35" s="171">
        <f t="shared" si="19"/>
        <v>3300.7000000000044</v>
      </c>
      <c r="M35" s="203">
        <f t="shared" si="20"/>
        <v>5.5827067510209609</v>
      </c>
      <c r="P35" s="171">
        <f t="shared" si="21"/>
        <v>2404.3179999999993</v>
      </c>
      <c r="Q35" s="203">
        <f t="shared" si="22"/>
        <v>3.8515707412251778</v>
      </c>
      <c r="R35" s="202">
        <f t="shared" si="23"/>
        <v>9.4342774922461388</v>
      </c>
      <c r="S35" s="171">
        <f t="shared" si="24"/>
        <v>5705.0180000000037</v>
      </c>
      <c r="T35" s="202">
        <f t="shared" si="25"/>
        <v>9.6492993920368644</v>
      </c>
    </row>
    <row r="36" spans="1:20" x14ac:dyDescent="0.25">
      <c r="A36" s="55" t="s">
        <v>7</v>
      </c>
      <c r="D36" s="171">
        <f t="shared" si="15"/>
        <v>5838.3760000000038</v>
      </c>
      <c r="E36" s="202">
        <f t="shared" si="16"/>
        <v>13.605135148688641</v>
      </c>
      <c r="H36" s="171">
        <f t="shared" si="17"/>
        <v>13190.516000000003</v>
      </c>
      <c r="I36" s="202">
        <f t="shared" si="18"/>
        <v>24.98545255730405</v>
      </c>
      <c r="L36" s="171">
        <f t="shared" si="19"/>
        <v>3720.5500000000029</v>
      </c>
      <c r="M36" s="203">
        <f t="shared" si="20"/>
        <v>5.6386237123635867</v>
      </c>
      <c r="P36" s="171">
        <f t="shared" si="21"/>
        <v>2668.5699999999924</v>
      </c>
      <c r="Q36" s="203">
        <f t="shared" si="22"/>
        <v>3.8284398924879932</v>
      </c>
      <c r="R36" s="202">
        <f t="shared" si="23"/>
        <v>9.4670636048515799</v>
      </c>
      <c r="S36" s="171">
        <f t="shared" si="24"/>
        <v>6389.1199999999953</v>
      </c>
      <c r="T36" s="202">
        <f t="shared" si="25"/>
        <v>9.6829349244429963</v>
      </c>
    </row>
    <row r="37" spans="1:20" x14ac:dyDescent="0.25">
      <c r="A37" s="55" t="s">
        <v>8</v>
      </c>
      <c r="D37" s="171">
        <f t="shared" si="15"/>
        <v>6765.8960000000079</v>
      </c>
      <c r="E37" s="202">
        <f t="shared" si="16"/>
        <v>14.409501233622215</v>
      </c>
      <c r="H37" s="171">
        <f t="shared" si="17"/>
        <v>18249.012000000002</v>
      </c>
      <c r="I37" s="202">
        <f t="shared" si="18"/>
        <v>31.362648703093722</v>
      </c>
      <c r="L37" s="171">
        <f t="shared" si="19"/>
        <v>4292.5</v>
      </c>
      <c r="M37" s="203">
        <f t="shared" si="20"/>
        <v>5.6158019574520415</v>
      </c>
      <c r="P37" s="171">
        <f t="shared" si="21"/>
        <v>3017.1440000000002</v>
      </c>
      <c r="Q37" s="203">
        <f t="shared" si="22"/>
        <v>3.7373917050462913</v>
      </c>
      <c r="R37" s="202">
        <f t="shared" si="23"/>
        <v>9.3531936624983327</v>
      </c>
      <c r="S37" s="171">
        <f t="shared" si="24"/>
        <v>7309.6440000000002</v>
      </c>
      <c r="T37" s="202">
        <f t="shared" si="25"/>
        <v>9.563078179027972</v>
      </c>
    </row>
    <row r="38" spans="1:20" x14ac:dyDescent="0.25">
      <c r="A38" s="55" t="s">
        <v>9</v>
      </c>
      <c r="D38" s="171">
        <f t="shared" si="15"/>
        <v>8019.8800000000047</v>
      </c>
      <c r="E38" s="202">
        <f t="shared" si="16"/>
        <v>15.596449028252799</v>
      </c>
      <c r="H38" s="171">
        <f t="shared" si="17"/>
        <v>20276.68</v>
      </c>
      <c r="I38" s="202">
        <f t="shared" si="18"/>
        <v>31.362648703093715</v>
      </c>
      <c r="L38" s="171">
        <f t="shared" si="19"/>
        <v>4746</v>
      </c>
      <c r="M38" s="203">
        <f t="shared" si="20"/>
        <v>5.5881972000141289</v>
      </c>
      <c r="P38" s="171">
        <f t="shared" si="21"/>
        <v>3359.8000000000029</v>
      </c>
      <c r="Q38" s="203">
        <f t="shared" si="22"/>
        <v>3.7466406467800426</v>
      </c>
      <c r="R38" s="202">
        <f t="shared" si="23"/>
        <v>9.3348378467941711</v>
      </c>
      <c r="S38" s="171">
        <f t="shared" si="24"/>
        <v>8105.8000000000029</v>
      </c>
      <c r="T38" s="202">
        <f t="shared" si="25"/>
        <v>9.5442075145121255</v>
      </c>
    </row>
    <row r="39" spans="1:20" x14ac:dyDescent="0.25">
      <c r="H39" s="171" t="s">
        <v>13</v>
      </c>
      <c r="L39" s="171" t="s">
        <v>175</v>
      </c>
      <c r="M39" t="s">
        <v>13</v>
      </c>
      <c r="P39" s="171">
        <f t="shared" si="21"/>
        <v>0</v>
      </c>
      <c r="Q39" s="202" t="s">
        <v>13</v>
      </c>
    </row>
    <row r="41" spans="1:20" x14ac:dyDescent="0.25">
      <c r="N41">
        <f>49.26/7</f>
        <v>7.0371428571428565</v>
      </c>
      <c r="R41" t="s">
        <v>13</v>
      </c>
      <c r="T41">
        <f>67.49/7</f>
        <v>9.6414285714285715</v>
      </c>
    </row>
    <row r="42" spans="1:20" x14ac:dyDescent="0.25">
      <c r="N42">
        <f>39.26/7</f>
        <v>5.6085714285714285</v>
      </c>
    </row>
  </sheetData>
  <mergeCells count="16">
    <mergeCell ref="A1:G1"/>
    <mergeCell ref="A2:G3"/>
    <mergeCell ref="A6:B6"/>
    <mergeCell ref="A7:B7"/>
    <mergeCell ref="I6:J6"/>
    <mergeCell ref="I7:J7"/>
    <mergeCell ref="Q6:R6"/>
    <mergeCell ref="Q7:R7"/>
    <mergeCell ref="A20:B20"/>
    <mergeCell ref="A21:B21"/>
    <mergeCell ref="E20:F20"/>
    <mergeCell ref="E21:F21"/>
    <mergeCell ref="I20:J20"/>
    <mergeCell ref="I21:J21"/>
    <mergeCell ref="M20:N20"/>
    <mergeCell ref="M21:N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BC08-26B8-44B0-90B0-F9070DC4D932}">
  <dimension ref="A1:H18"/>
  <sheetViews>
    <sheetView tabSelected="1" workbookViewId="0">
      <selection sqref="A1:XFD1048576"/>
    </sheetView>
  </sheetViews>
  <sheetFormatPr defaultRowHeight="15" x14ac:dyDescent="0.25"/>
  <cols>
    <col min="1" max="1" width="29.7109375" customWidth="1"/>
    <col min="2" max="2" width="21.7109375" customWidth="1"/>
    <col min="3" max="4" width="20.85546875" customWidth="1"/>
    <col min="5" max="5" width="21.7109375" customWidth="1"/>
    <col min="6" max="6" width="16.85546875" customWidth="1"/>
    <col min="7" max="7" width="17.85546875" customWidth="1"/>
    <col min="8" max="8" width="1.85546875" customWidth="1"/>
  </cols>
  <sheetData>
    <row r="1" spans="1:8" ht="30.4" customHeight="1" x14ac:dyDescent="0.25">
      <c r="A1" s="344" t="s">
        <v>98</v>
      </c>
      <c r="B1" s="344"/>
      <c r="C1" s="344"/>
      <c r="D1" s="344"/>
      <c r="E1" s="344"/>
      <c r="F1" s="344"/>
      <c r="G1" s="344"/>
      <c r="H1" s="344"/>
    </row>
    <row r="2" spans="1:8" ht="57" x14ac:dyDescent="0.25">
      <c r="A2" s="345" t="s">
        <v>180</v>
      </c>
      <c r="B2" s="346" t="s">
        <v>181</v>
      </c>
      <c r="C2" s="345" t="s">
        <v>182</v>
      </c>
      <c r="D2" s="345" t="s">
        <v>183</v>
      </c>
      <c r="E2" s="345" t="s">
        <v>184</v>
      </c>
      <c r="F2" s="345" t="s">
        <v>185</v>
      </c>
      <c r="G2" s="345" t="s">
        <v>186</v>
      </c>
    </row>
    <row r="3" spans="1:8" ht="17.45" customHeight="1" x14ac:dyDescent="0.25">
      <c r="A3" s="347" t="s">
        <v>187</v>
      </c>
      <c r="B3" s="347"/>
      <c r="C3" s="347"/>
      <c r="D3" s="347"/>
      <c r="E3" s="347"/>
      <c r="F3" s="347"/>
      <c r="G3" s="347"/>
    </row>
    <row r="4" spans="1:8" ht="26.65" customHeight="1" x14ac:dyDescent="0.25">
      <c r="A4" s="348" t="s">
        <v>67</v>
      </c>
      <c r="B4" s="349" t="s">
        <v>68</v>
      </c>
      <c r="C4" s="348" t="s">
        <v>69</v>
      </c>
      <c r="D4" s="349">
        <v>8.3800000000000008</v>
      </c>
      <c r="E4" s="349">
        <v>8.3800000000000008</v>
      </c>
      <c r="F4" s="349">
        <v>0</v>
      </c>
      <c r="G4" s="349" t="s">
        <v>70</v>
      </c>
    </row>
    <row r="5" spans="1:8" ht="22.7" customHeight="1" x14ac:dyDescent="0.25">
      <c r="A5" s="350" t="s">
        <v>71</v>
      </c>
      <c r="B5" s="351" t="s">
        <v>72</v>
      </c>
      <c r="C5" s="350" t="s">
        <v>73</v>
      </c>
      <c r="D5" s="351">
        <v>13.4</v>
      </c>
      <c r="E5" s="351">
        <v>12.51</v>
      </c>
      <c r="F5" s="351">
        <v>0.89</v>
      </c>
      <c r="G5" s="350">
        <v>1803.14</v>
      </c>
    </row>
    <row r="6" spans="1:8" ht="22.7" customHeight="1" x14ac:dyDescent="0.25">
      <c r="A6" s="350" t="s">
        <v>74</v>
      </c>
      <c r="B6" s="351" t="s">
        <v>75</v>
      </c>
      <c r="C6" s="350" t="s">
        <v>76</v>
      </c>
      <c r="D6" s="351">
        <v>14.27</v>
      </c>
      <c r="E6" s="351">
        <v>12.94</v>
      </c>
      <c r="F6" s="351">
        <v>1.33</v>
      </c>
      <c r="G6" s="350">
        <v>2694.58</v>
      </c>
    </row>
    <row r="7" spans="1:8" ht="25.35" customHeight="1" x14ac:dyDescent="0.25">
      <c r="A7" s="352" t="s">
        <v>77</v>
      </c>
      <c r="B7" s="353" t="s">
        <v>78</v>
      </c>
      <c r="C7" s="352" t="s">
        <v>79</v>
      </c>
      <c r="D7" s="353">
        <v>16.75</v>
      </c>
      <c r="E7" s="353">
        <v>13.57</v>
      </c>
      <c r="F7" s="353">
        <v>3.18</v>
      </c>
      <c r="G7" s="352">
        <v>6442.68</v>
      </c>
    </row>
    <row r="8" spans="1:8" ht="17.25" customHeight="1" x14ac:dyDescent="0.25">
      <c r="A8" s="347" t="s">
        <v>188</v>
      </c>
      <c r="B8" s="347"/>
      <c r="C8" s="347"/>
      <c r="D8" s="347"/>
      <c r="E8" s="347"/>
      <c r="F8" s="347"/>
      <c r="G8" s="347"/>
    </row>
    <row r="9" spans="1:8" ht="26.65" customHeight="1" x14ac:dyDescent="0.25">
      <c r="A9" s="348" t="s">
        <v>80</v>
      </c>
      <c r="B9" s="349" t="s">
        <v>68</v>
      </c>
      <c r="C9" s="348" t="s">
        <v>81</v>
      </c>
      <c r="D9" s="349">
        <v>8.4</v>
      </c>
      <c r="E9" s="349">
        <v>8.4</v>
      </c>
      <c r="F9" s="349">
        <v>0</v>
      </c>
      <c r="G9" s="349" t="s">
        <v>70</v>
      </c>
    </row>
    <row r="10" spans="1:8" ht="22.7" customHeight="1" x14ac:dyDescent="0.25">
      <c r="A10" s="350" t="s">
        <v>82</v>
      </c>
      <c r="B10" s="351" t="s">
        <v>83</v>
      </c>
      <c r="C10" s="350" t="s">
        <v>84</v>
      </c>
      <c r="D10" s="351">
        <v>13.48</v>
      </c>
      <c r="E10" s="351">
        <v>12.61</v>
      </c>
      <c r="F10" s="351">
        <v>0.87</v>
      </c>
      <c r="G10" s="350">
        <v>1643.43</v>
      </c>
    </row>
    <row r="11" spans="1:8" ht="22.7" customHeight="1" x14ac:dyDescent="0.25">
      <c r="A11" s="350" t="s">
        <v>85</v>
      </c>
      <c r="B11" s="351" t="s">
        <v>75</v>
      </c>
      <c r="C11" s="350" t="s">
        <v>79</v>
      </c>
      <c r="D11" s="351">
        <v>14.35</v>
      </c>
      <c r="E11" s="351">
        <v>13.04</v>
      </c>
      <c r="F11" s="351">
        <v>1.31</v>
      </c>
      <c r="G11" s="350">
        <v>2474.59</v>
      </c>
    </row>
    <row r="12" spans="1:8" ht="25.35" customHeight="1" x14ac:dyDescent="0.25">
      <c r="A12" s="352" t="s">
        <v>86</v>
      </c>
      <c r="B12" s="353" t="s">
        <v>87</v>
      </c>
      <c r="C12" s="352" t="s">
        <v>88</v>
      </c>
      <c r="D12" s="353">
        <v>19.25</v>
      </c>
      <c r="E12" s="353">
        <v>14.3</v>
      </c>
      <c r="F12" s="353">
        <v>4.95</v>
      </c>
      <c r="G12" s="352">
        <v>9350.5499999999993</v>
      </c>
    </row>
    <row r="13" spans="1:8" ht="29.45" customHeight="1" x14ac:dyDescent="0.25">
      <c r="A13" s="347" t="s">
        <v>189</v>
      </c>
      <c r="B13" s="347"/>
      <c r="C13" s="347"/>
      <c r="D13" s="347"/>
      <c r="E13" s="347"/>
      <c r="F13" s="347"/>
      <c r="G13" s="347"/>
    </row>
    <row r="14" spans="1:8" ht="26.65" customHeight="1" x14ac:dyDescent="0.25">
      <c r="A14" s="348" t="s">
        <v>89</v>
      </c>
      <c r="B14" s="349" t="s">
        <v>68</v>
      </c>
      <c r="C14" s="348" t="s">
        <v>90</v>
      </c>
      <c r="D14" s="349">
        <v>8.52</v>
      </c>
      <c r="E14" s="349">
        <v>8.52</v>
      </c>
      <c r="F14" s="349">
        <v>0</v>
      </c>
      <c r="G14" s="349" t="s">
        <v>70</v>
      </c>
    </row>
    <row r="15" spans="1:8" ht="22.7" customHeight="1" x14ac:dyDescent="0.25">
      <c r="A15" s="350" t="s">
        <v>91</v>
      </c>
      <c r="B15" s="351" t="s">
        <v>83</v>
      </c>
      <c r="C15" s="350" t="s">
        <v>92</v>
      </c>
      <c r="D15" s="351">
        <v>13.56</v>
      </c>
      <c r="E15" s="351">
        <v>12.72</v>
      </c>
      <c r="F15" s="351">
        <v>0.84</v>
      </c>
      <c r="G15" s="350">
        <v>1474.2</v>
      </c>
    </row>
    <row r="16" spans="1:8" ht="22.7" customHeight="1" x14ac:dyDescent="0.25">
      <c r="A16" s="350" t="s">
        <v>93</v>
      </c>
      <c r="B16" s="351" t="s">
        <v>94</v>
      </c>
      <c r="C16" s="350" t="s">
        <v>95</v>
      </c>
      <c r="D16" s="351">
        <v>14.42</v>
      </c>
      <c r="E16" s="351">
        <v>13.15</v>
      </c>
      <c r="F16" s="351">
        <v>1.27</v>
      </c>
      <c r="G16" s="350">
        <v>2228.85</v>
      </c>
    </row>
    <row r="17" spans="1:8" ht="25.5" customHeight="1" x14ac:dyDescent="0.25">
      <c r="A17" s="352" t="s">
        <v>96</v>
      </c>
      <c r="B17" s="353" t="s">
        <v>78</v>
      </c>
      <c r="C17" s="352" t="s">
        <v>97</v>
      </c>
      <c r="D17" s="353">
        <v>24</v>
      </c>
      <c r="E17" s="353">
        <v>15.54</v>
      </c>
      <c r="F17" s="353">
        <v>8.4600000000000009</v>
      </c>
      <c r="G17" s="352">
        <v>14847.3</v>
      </c>
    </row>
    <row r="18" spans="1:8" ht="47.25" customHeight="1" x14ac:dyDescent="0.25">
      <c r="A18" s="354" t="s">
        <v>190</v>
      </c>
      <c r="B18" s="354"/>
      <c r="C18" s="354"/>
      <c r="D18" s="354"/>
      <c r="E18" s="354"/>
      <c r="F18" s="354"/>
      <c r="G18" s="354"/>
      <c r="H18" s="354"/>
    </row>
  </sheetData>
  <mergeCells count="5">
    <mergeCell ref="A1:H1"/>
    <mergeCell ref="A3:G3"/>
    <mergeCell ref="A8:G8"/>
    <mergeCell ref="A13:G13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check your pension</vt:lpstr>
      <vt:lpstr>Sheet1</vt:lpstr>
      <vt:lpstr>86-93</vt:lpstr>
      <vt:lpstr>93-98</vt:lpstr>
      <vt:lpstr>98-2002</vt:lpstr>
      <vt:lpstr>100% DA-aug.23</vt:lpstr>
      <vt:lpstr>RBI FORMULA</vt:lpstr>
      <vt:lpstr>DIFF BPS</vt:lpstr>
      <vt:lpstr>Sheet2</vt:lpstr>
      <vt:lpstr>100%da-july 23</vt:lpstr>
      <vt:lpstr>DA Chart-1.8.23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jagadeesh js</dc:creator>
  <cp:lastModifiedBy>jagadeesh js</cp:lastModifiedBy>
  <cp:lastPrinted>2023-08-06T07:28:36Z</cp:lastPrinted>
  <dcterms:created xsi:type="dcterms:W3CDTF">2023-07-31T17:03:29Z</dcterms:created>
  <dcterms:modified xsi:type="dcterms:W3CDTF">2023-08-12T14:48:45Z</dcterms:modified>
</cp:coreProperties>
</file>